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W:\VITALITY\NUOVI BANDI A CASCATA UNIPG LUGLIO 2024\"/>
    </mc:Choice>
  </mc:AlternateContent>
  <xr:revisionPtr revIDLastSave="0" documentId="13_ncr:1_{585062DE-E9CE-4E9B-A64D-15C5EE3CEA6D}" xr6:coauthVersionLast="36" xr6:coauthVersionMax="47" xr10:uidLastSave="{00000000-0000-0000-0000-000000000000}"/>
  <bookViews>
    <workbookView xWindow="0" yWindow="0" windowWidth="28800" windowHeight="11625" tabRatio="778" activeTab="4" xr2:uid="{00000000-000D-0000-FFFF-FFFF00000000}"/>
  </bookViews>
  <sheets>
    <sheet name="0. RIEPILOGO" sheetId="18" r:id="rId1"/>
    <sheet name="0.a ISTRUZIONI DI COMPILAZIONE" sheetId="14" r:id="rId2"/>
    <sheet name="1. Distribuzione Mesi-Uomo" sheetId="1" r:id="rId3"/>
    <sheet name="Modello Budget GI TENTATIVE" sheetId="13" state="hidden" r:id="rId4"/>
    <sheet name="2.aBudget Grande Impresa" sheetId="15" r:id="rId5"/>
    <sheet name="2.bBudget Media Impresa" sheetId="25" r:id="rId6"/>
    <sheet name="2.cBudget Piccola Impresa" sheetId="26" r:id="rId7"/>
    <sheet name="2.dBudget EPR" sheetId="27" r:id="rId8"/>
    <sheet name="2.cBudget UNI" sheetId="28" r:id="rId9"/>
    <sheet name="3. Budget Progetto" sheetId="17" r:id="rId10"/>
  </sheets>
  <calcPr calcId="191029"/>
  <extLs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F7" i="15" l="1"/>
  <c r="H7" i="15" s="1"/>
  <c r="H10" i="15" s="1"/>
  <c r="G7" i="15"/>
  <c r="G10" i="15" s="1"/>
  <c r="F8" i="15"/>
  <c r="H8" i="15" s="1"/>
  <c r="G8" i="15"/>
  <c r="J8" i="15"/>
  <c r="F9" i="15"/>
  <c r="G9" i="15"/>
  <c r="J9" i="15" s="1"/>
  <c r="H9" i="15"/>
  <c r="I9" i="15"/>
  <c r="F11" i="15"/>
  <c r="H11" i="15" s="1"/>
  <c r="H14" i="15" s="1"/>
  <c r="G11" i="15"/>
  <c r="J11" i="15" s="1"/>
  <c r="F12" i="15"/>
  <c r="H12" i="15" s="1"/>
  <c r="G12" i="15"/>
  <c r="J12" i="15"/>
  <c r="F13" i="15"/>
  <c r="G13" i="15"/>
  <c r="J13" i="15" s="1"/>
  <c r="H13" i="15"/>
  <c r="I13" i="15"/>
  <c r="F15" i="15"/>
  <c r="H15" i="15" s="1"/>
  <c r="G15" i="15"/>
  <c r="G18" i="15" s="1"/>
  <c r="F16" i="15"/>
  <c r="H16" i="15" s="1"/>
  <c r="G16" i="15"/>
  <c r="J16" i="15"/>
  <c r="F17" i="15"/>
  <c r="G17" i="15"/>
  <c r="J17" i="15" s="1"/>
  <c r="H17" i="15"/>
  <c r="I17" i="15"/>
  <c r="F19" i="15"/>
  <c r="H19" i="15" s="1"/>
  <c r="G19" i="15"/>
  <c r="G22" i="15" s="1"/>
  <c r="F20" i="15"/>
  <c r="H20" i="15" s="1"/>
  <c r="G20" i="15"/>
  <c r="J20" i="15"/>
  <c r="F21" i="15"/>
  <c r="G21" i="15"/>
  <c r="J21" i="15" s="1"/>
  <c r="H21" i="15"/>
  <c r="I21" i="15"/>
  <c r="F23" i="15"/>
  <c r="H23" i="15" s="1"/>
  <c r="H26" i="15" s="1"/>
  <c r="G23" i="15"/>
  <c r="J23" i="15" s="1"/>
  <c r="J26" i="15" s="1"/>
  <c r="F24" i="15"/>
  <c r="H24" i="15" s="1"/>
  <c r="G24" i="15"/>
  <c r="J24" i="15"/>
  <c r="F25" i="15"/>
  <c r="G25" i="15"/>
  <c r="J25" i="15" s="1"/>
  <c r="H25" i="15"/>
  <c r="I25" i="15"/>
  <c r="D10" i="15"/>
  <c r="E10" i="15"/>
  <c r="D14" i="15"/>
  <c r="E14" i="15"/>
  <c r="D18" i="15"/>
  <c r="E18" i="15"/>
  <c r="D22" i="15"/>
  <c r="E22" i="15"/>
  <c r="D26" i="15"/>
  <c r="E26" i="15"/>
  <c r="H22" i="15" l="1"/>
  <c r="H18" i="15"/>
  <c r="J14" i="15"/>
  <c r="I24" i="15"/>
  <c r="I20" i="15"/>
  <c r="J19" i="15"/>
  <c r="J22" i="15" s="1"/>
  <c r="I16" i="15"/>
  <c r="J15" i="15"/>
  <c r="J18" i="15" s="1"/>
  <c r="G14" i="15"/>
  <c r="I12" i="15"/>
  <c r="I8" i="15"/>
  <c r="J7" i="15"/>
  <c r="J10" i="15" s="1"/>
  <c r="F26" i="15"/>
  <c r="I23" i="15"/>
  <c r="I26" i="15" s="1"/>
  <c r="F22" i="15"/>
  <c r="I19" i="15"/>
  <c r="F18" i="15"/>
  <c r="I15" i="15"/>
  <c r="I18" i="15" s="1"/>
  <c r="F14" i="15"/>
  <c r="I11" i="15"/>
  <c r="F10" i="15"/>
  <c r="I7" i="15"/>
  <c r="I10" i="15" s="1"/>
  <c r="G26" i="15"/>
  <c r="D35" i="28"/>
  <c r="C35" i="28"/>
  <c r="E35" i="28" s="1"/>
  <c r="D34" i="28"/>
  <c r="C34" i="28"/>
  <c r="E34" i="28" s="1"/>
  <c r="D33" i="28"/>
  <c r="C33" i="28"/>
  <c r="P28" i="28"/>
  <c r="O28" i="28"/>
  <c r="N28" i="28"/>
  <c r="M28" i="28"/>
  <c r="E26" i="28"/>
  <c r="D26" i="28"/>
  <c r="J25" i="28"/>
  <c r="G25" i="28"/>
  <c r="F25" i="28"/>
  <c r="I25" i="28" s="1"/>
  <c r="G24" i="28"/>
  <c r="J24" i="28" s="1"/>
  <c r="F24" i="28"/>
  <c r="H24" i="28" s="1"/>
  <c r="G23" i="28"/>
  <c r="J23" i="28" s="1"/>
  <c r="F23" i="28"/>
  <c r="I23" i="28" s="1"/>
  <c r="E22" i="28"/>
  <c r="D22" i="28"/>
  <c r="G21" i="28"/>
  <c r="J21" i="28" s="1"/>
  <c r="F21" i="28"/>
  <c r="I21" i="28" s="1"/>
  <c r="G20" i="28"/>
  <c r="J20" i="28" s="1"/>
  <c r="F20" i="28"/>
  <c r="I20" i="28" s="1"/>
  <c r="G19" i="28"/>
  <c r="J19" i="28" s="1"/>
  <c r="F19" i="28"/>
  <c r="I19" i="28" s="1"/>
  <c r="E18" i="28"/>
  <c r="D18" i="28"/>
  <c r="G17" i="28"/>
  <c r="J17" i="28" s="1"/>
  <c r="F17" i="28"/>
  <c r="I17" i="28" s="1"/>
  <c r="G16" i="28"/>
  <c r="J16" i="28" s="1"/>
  <c r="F16" i="28"/>
  <c r="I16" i="28" s="1"/>
  <c r="G15" i="28"/>
  <c r="F15" i="28"/>
  <c r="I15" i="28" s="1"/>
  <c r="E14" i="28"/>
  <c r="D14" i="28"/>
  <c r="G13" i="28"/>
  <c r="J13" i="28" s="1"/>
  <c r="F13" i="28"/>
  <c r="I13" i="28" s="1"/>
  <c r="G12" i="28"/>
  <c r="J12" i="28" s="1"/>
  <c r="F12" i="28"/>
  <c r="H12" i="28" s="1"/>
  <c r="G11" i="28"/>
  <c r="J11" i="28" s="1"/>
  <c r="F11" i="28"/>
  <c r="E10" i="28"/>
  <c r="D10" i="28"/>
  <c r="G9" i="28"/>
  <c r="J9" i="28" s="1"/>
  <c r="F9" i="28"/>
  <c r="I9" i="28" s="1"/>
  <c r="G8" i="28"/>
  <c r="J8" i="28" s="1"/>
  <c r="F8" i="28"/>
  <c r="H8" i="28" s="1"/>
  <c r="G7" i="28"/>
  <c r="J7" i="28" s="1"/>
  <c r="F7" i="28"/>
  <c r="I7" i="28" s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I14" i="15" l="1"/>
  <c r="I22" i="15"/>
  <c r="D36" i="28"/>
  <c r="E28" i="28"/>
  <c r="H15" i="28"/>
  <c r="F14" i="28"/>
  <c r="I12" i="28"/>
  <c r="E33" i="28"/>
  <c r="E36" i="28" s="1"/>
  <c r="F18" i="28"/>
  <c r="J14" i="28"/>
  <c r="R14" i="28" s="1"/>
  <c r="I22" i="28"/>
  <c r="I8" i="28"/>
  <c r="H11" i="28"/>
  <c r="J22" i="28"/>
  <c r="I24" i="28"/>
  <c r="I26" i="28" s="1"/>
  <c r="G14" i="28"/>
  <c r="G26" i="28"/>
  <c r="H25" i="28"/>
  <c r="J10" i="28"/>
  <c r="I11" i="28"/>
  <c r="I14" i="28" s="1"/>
  <c r="G10" i="28"/>
  <c r="D28" i="28"/>
  <c r="H21" i="28"/>
  <c r="C36" i="28"/>
  <c r="I10" i="28"/>
  <c r="I18" i="28"/>
  <c r="Q18" i="28" s="1"/>
  <c r="J26" i="28"/>
  <c r="F10" i="28"/>
  <c r="H16" i="28"/>
  <c r="H7" i="28"/>
  <c r="H20" i="28"/>
  <c r="G18" i="28"/>
  <c r="F22" i="28"/>
  <c r="H13" i="28"/>
  <c r="H19" i="28"/>
  <c r="G22" i="28"/>
  <c r="F26" i="28"/>
  <c r="H9" i="28"/>
  <c r="J15" i="28"/>
  <c r="J18" i="28" s="1"/>
  <c r="H17" i="28"/>
  <c r="H23" i="28"/>
  <c r="H14" i="28" l="1"/>
  <c r="Q14" i="28"/>
  <c r="S14" i="28" s="1"/>
  <c r="J28" i="28"/>
  <c r="R10" i="28"/>
  <c r="H26" i="28"/>
  <c r="Q22" i="28"/>
  <c r="I28" i="28"/>
  <c r="Q26" i="28"/>
  <c r="H18" i="28"/>
  <c r="H10" i="28"/>
  <c r="R22" i="28"/>
  <c r="S22" i="28" s="1"/>
  <c r="H22" i="28"/>
  <c r="R26" i="28"/>
  <c r="F28" i="28"/>
  <c r="Q10" i="28"/>
  <c r="S26" i="28"/>
  <c r="G28" i="28"/>
  <c r="R18" i="28"/>
  <c r="R28" i="28" l="1"/>
  <c r="H28" i="28"/>
  <c r="S18" i="28"/>
  <c r="Q28" i="28"/>
  <c r="C30" i="28" s="1"/>
  <c r="S10" i="28"/>
  <c r="S28" i="28" l="1"/>
  <c r="D35" i="27"/>
  <c r="C35" i="27"/>
  <c r="D34" i="27"/>
  <c r="C34" i="27"/>
  <c r="D33" i="27"/>
  <c r="C33" i="27"/>
  <c r="E33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F9" i="17"/>
  <c r="F10" i="17"/>
  <c r="F8" i="17"/>
  <c r="C34" i="15"/>
  <c r="D36" i="27" l="1"/>
  <c r="L10" i="17"/>
  <c r="L8" i="17"/>
  <c r="L9" i="17"/>
  <c r="E35" i="27"/>
  <c r="D28" i="27"/>
  <c r="E28" i="27"/>
  <c r="E34" i="27"/>
  <c r="E36" i="27" s="1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6" i="27"/>
  <c r="H17" i="27"/>
  <c r="H8" i="27"/>
  <c r="I8" i="27"/>
  <c r="H12" i="27"/>
  <c r="J23" i="27"/>
  <c r="J26" i="27" s="1"/>
  <c r="H25" i="27"/>
  <c r="C33" i="15"/>
  <c r="E40" i="1"/>
  <c r="H19" i="1"/>
  <c r="F12" i="26"/>
  <c r="I9" i="17"/>
  <c r="AA9" i="17" s="1"/>
  <c r="I8" i="17"/>
  <c r="AA8" i="17" s="1"/>
  <c r="H8" i="17"/>
  <c r="J11" i="17"/>
  <c r="D35" i="26"/>
  <c r="C35" i="26"/>
  <c r="D34" i="26"/>
  <c r="C34" i="26"/>
  <c r="D33" i="26"/>
  <c r="C33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5" i="25"/>
  <c r="C35" i="25"/>
  <c r="E35" i="25" s="1"/>
  <c r="D34" i="25"/>
  <c r="C34" i="25"/>
  <c r="D33" i="25"/>
  <c r="C33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D36" i="26" l="1"/>
  <c r="S8" i="17"/>
  <c r="E33" i="26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I7" i="26"/>
  <c r="I10" i="26" s="1"/>
  <c r="H7" i="26"/>
  <c r="J7" i="26"/>
  <c r="J10" i="26" s="1"/>
  <c r="G10" i="26"/>
  <c r="I11" i="26"/>
  <c r="F14" i="26"/>
  <c r="I13" i="26"/>
  <c r="H13" i="26"/>
  <c r="H16" i="26"/>
  <c r="I16" i="26"/>
  <c r="E28" i="26"/>
  <c r="I19" i="26"/>
  <c r="F22" i="26"/>
  <c r="H19" i="26"/>
  <c r="J19" i="26"/>
  <c r="J22" i="26" s="1"/>
  <c r="G22" i="26"/>
  <c r="I20" i="26"/>
  <c r="H20" i="26"/>
  <c r="D28" i="26"/>
  <c r="I23" i="26"/>
  <c r="I26" i="26" s="1"/>
  <c r="Q26" i="26" s="1"/>
  <c r="F26" i="26"/>
  <c r="E34" i="26"/>
  <c r="E35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I22" i="25" s="1"/>
  <c r="H20" i="25"/>
  <c r="H21" i="25"/>
  <c r="I21" i="25"/>
  <c r="H24" i="25"/>
  <c r="I25" i="25"/>
  <c r="I26" i="25" s="1"/>
  <c r="H25" i="25"/>
  <c r="C36" i="25"/>
  <c r="E33" i="25"/>
  <c r="D36" i="25"/>
  <c r="J14" i="26"/>
  <c r="I18" i="26"/>
  <c r="J18" i="26"/>
  <c r="H11" i="26"/>
  <c r="G14" i="26"/>
  <c r="F18" i="26"/>
  <c r="H24" i="26"/>
  <c r="H9" i="26"/>
  <c r="H15" i="26"/>
  <c r="G18" i="26"/>
  <c r="H17" i="26"/>
  <c r="G26" i="26"/>
  <c r="R26" i="26" s="1"/>
  <c r="H8" i="26"/>
  <c r="H21" i="26"/>
  <c r="C36" i="26"/>
  <c r="H23" i="26"/>
  <c r="H12" i="26"/>
  <c r="H25" i="26"/>
  <c r="J14" i="25"/>
  <c r="J22" i="25"/>
  <c r="H11" i="25"/>
  <c r="G14" i="25"/>
  <c r="E34" i="25"/>
  <c r="G18" i="25"/>
  <c r="I9" i="25"/>
  <c r="H13" i="25"/>
  <c r="I15" i="25"/>
  <c r="I18" i="25" s="1"/>
  <c r="H19" i="25"/>
  <c r="G22" i="25"/>
  <c r="J24" i="25"/>
  <c r="J26" i="25" s="1"/>
  <c r="F26" i="25"/>
  <c r="Q26" i="25" s="1"/>
  <c r="F18" i="25"/>
  <c r="F22" i="25"/>
  <c r="H17" i="25"/>
  <c r="H23" i="25"/>
  <c r="G26" i="25"/>
  <c r="I7" i="25"/>
  <c r="J16" i="25"/>
  <c r="J18" i="25" s="1"/>
  <c r="R18" i="26" l="1"/>
  <c r="R22" i="26"/>
  <c r="I14" i="26"/>
  <c r="Q14" i="26" s="1"/>
  <c r="R10" i="26"/>
  <c r="S10" i="26" s="1"/>
  <c r="Q10" i="26"/>
  <c r="R22" i="25"/>
  <c r="Z8" i="17"/>
  <c r="AB8" i="17" s="1"/>
  <c r="S22" i="27"/>
  <c r="H22" i="26"/>
  <c r="R14" i="26"/>
  <c r="H10" i="26"/>
  <c r="H28" i="26" s="1"/>
  <c r="H10" i="25"/>
  <c r="R14" i="25"/>
  <c r="I10" i="25"/>
  <c r="S26" i="27"/>
  <c r="Q10" i="27"/>
  <c r="R28" i="27"/>
  <c r="H28" i="27"/>
  <c r="Q28" i="27"/>
  <c r="S10" i="27"/>
  <c r="S18" i="27"/>
  <c r="R10" i="25"/>
  <c r="E36" i="25"/>
  <c r="H22" i="25"/>
  <c r="H26" i="25"/>
  <c r="H18" i="25"/>
  <c r="Q22" i="25"/>
  <c r="S22" i="25" s="1"/>
  <c r="H14" i="26"/>
  <c r="J28" i="26"/>
  <c r="E36" i="26"/>
  <c r="I22" i="26"/>
  <c r="G28" i="26"/>
  <c r="F28" i="26"/>
  <c r="Q10" i="25"/>
  <c r="S10" i="25" s="1"/>
  <c r="H14" i="25"/>
  <c r="H28" i="25" s="1"/>
  <c r="I14" i="25"/>
  <c r="H26" i="26"/>
  <c r="S14" i="26"/>
  <c r="S26" i="26"/>
  <c r="H18" i="26"/>
  <c r="Q18" i="26"/>
  <c r="S18" i="26" s="1"/>
  <c r="G28" i="25"/>
  <c r="R26" i="25"/>
  <c r="S26" i="25" s="1"/>
  <c r="J28" i="25"/>
  <c r="F28" i="25"/>
  <c r="Q18" i="25"/>
  <c r="R18" i="25"/>
  <c r="R28" i="26" l="1"/>
  <c r="R28" i="25"/>
  <c r="G8" i="17"/>
  <c r="C30" i="27"/>
  <c r="S28" i="27"/>
  <c r="Q22" i="26"/>
  <c r="I28" i="26"/>
  <c r="Q14" i="25"/>
  <c r="S14" i="25" s="1"/>
  <c r="I28" i="25"/>
  <c r="S18" i="25"/>
  <c r="Q28" i="25" l="1"/>
  <c r="C30" i="25" s="1"/>
  <c r="S22" i="26"/>
  <c r="S28" i="26" s="1"/>
  <c r="Q28" i="26"/>
  <c r="C30" i="26" s="1"/>
  <c r="S28" i="25"/>
  <c r="P28" i="15" l="1"/>
  <c r="O28" i="15"/>
  <c r="N28" i="15"/>
  <c r="M28" i="15"/>
  <c r="D35" i="15" l="1"/>
  <c r="C35" i="15"/>
  <c r="D34" i="15"/>
  <c r="D33" i="15"/>
  <c r="H38" i="1"/>
  <c r="I10" i="17"/>
  <c r="AA10" i="17" s="1"/>
  <c r="H10" i="17"/>
  <c r="H9" i="17"/>
  <c r="S10" i="17" l="1"/>
  <c r="Z10" i="17"/>
  <c r="AB10" i="17" s="1"/>
  <c r="Z9" i="17"/>
  <c r="AB9" i="17" s="1"/>
  <c r="S9" i="17"/>
  <c r="I11" i="17"/>
  <c r="H11" i="17"/>
  <c r="D28" i="15"/>
  <c r="E28" i="15"/>
  <c r="Q26" i="15"/>
  <c r="E35" i="13"/>
  <c r="E34" i="13"/>
  <c r="E33" i="13"/>
  <c r="E36" i="13" s="1"/>
  <c r="D34" i="13"/>
  <c r="F34" i="13" s="1"/>
  <c r="D35" i="13"/>
  <c r="F35" i="13" s="1"/>
  <c r="D33" i="13"/>
  <c r="F33" i="13" s="1"/>
  <c r="F36" i="13" s="1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J4" i="13" s="1"/>
  <c r="F5" i="13"/>
  <c r="AB11" i="17" l="1"/>
  <c r="U9" i="17"/>
  <c r="D36" i="13"/>
  <c r="G10" i="17"/>
  <c r="Q10" i="15"/>
  <c r="G9" i="17"/>
  <c r="S11" i="17"/>
  <c r="W9" i="17" s="1"/>
  <c r="R26" i="15"/>
  <c r="S26" i="15" s="1"/>
  <c r="Q14" i="15"/>
  <c r="Q22" i="15"/>
  <c r="F28" i="15"/>
  <c r="R14" i="15"/>
  <c r="R10" i="15"/>
  <c r="R18" i="15"/>
  <c r="J28" i="15"/>
  <c r="R22" i="15"/>
  <c r="I28" i="15"/>
  <c r="G28" i="15"/>
  <c r="E33" i="15"/>
  <c r="C36" i="15"/>
  <c r="D36" i="15"/>
  <c r="E35" i="15"/>
  <c r="E3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H39" i="1"/>
  <c r="F40" i="1"/>
  <c r="G40" i="1"/>
  <c r="E6" i="1"/>
  <c r="H35" i="1"/>
  <c r="H34" i="1"/>
  <c r="H33" i="1"/>
  <c r="H32" i="1"/>
  <c r="H31" i="1"/>
  <c r="G30" i="1"/>
  <c r="F30" i="1"/>
  <c r="E30" i="1"/>
  <c r="H29" i="1"/>
  <c r="H28" i="1"/>
  <c r="H27" i="1"/>
  <c r="H26" i="1"/>
  <c r="H25" i="1"/>
  <c r="G24" i="1"/>
  <c r="F24" i="1"/>
  <c r="E24" i="1"/>
  <c r="H23" i="1"/>
  <c r="H22" i="1"/>
  <c r="H21" i="1"/>
  <c r="H20" i="1"/>
  <c r="G18" i="1"/>
  <c r="G46" i="1" s="1"/>
  <c r="F18" i="1"/>
  <c r="G45" i="1" s="1"/>
  <c r="E18" i="1"/>
  <c r="G44" i="1" s="1"/>
  <c r="H17" i="1"/>
  <c r="H16" i="1"/>
  <c r="H15" i="1"/>
  <c r="H14" i="1"/>
  <c r="H13" i="1"/>
  <c r="G12" i="1"/>
  <c r="F46" i="1" s="1"/>
  <c r="F12" i="1"/>
  <c r="F45" i="1" s="1"/>
  <c r="E12" i="1"/>
  <c r="F44" i="1" s="1"/>
  <c r="H11" i="1"/>
  <c r="H10" i="1"/>
  <c r="H9" i="1"/>
  <c r="H8" i="1"/>
  <c r="H7" i="1"/>
  <c r="G6" i="1"/>
  <c r="E46" i="1" s="1"/>
  <c r="F6" i="1"/>
  <c r="U10" i="17" l="1"/>
  <c r="W8" i="17"/>
  <c r="U8" i="17"/>
  <c r="R28" i="15"/>
  <c r="W10" i="17"/>
  <c r="V10" i="17"/>
  <c r="V9" i="17"/>
  <c r="V8" i="17"/>
  <c r="T11" i="17"/>
  <c r="S14" i="15"/>
  <c r="F36" i="1"/>
  <c r="E45" i="1"/>
  <c r="E36" i="1"/>
  <c r="E44" i="1"/>
  <c r="H28" i="15"/>
  <c r="Q18" i="15"/>
  <c r="Q28" i="15" s="1"/>
  <c r="C30" i="15" s="1"/>
  <c r="H6" i="1"/>
  <c r="G36" i="1"/>
  <c r="S10" i="15"/>
  <c r="S22" i="15"/>
  <c r="E36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47" i="1"/>
  <c r="G47" i="1"/>
  <c r="H40" i="1"/>
  <c r="H30" i="1"/>
  <c r="H12" i="1"/>
  <c r="H18" i="1"/>
  <c r="H24" i="1"/>
  <c r="S18" i="15" l="1"/>
  <c r="S28" i="15" s="1"/>
  <c r="E47" i="1"/>
  <c r="H36" i="1"/>
  <c r="R3" i="13"/>
  <c r="H3" i="13"/>
  <c r="S3" i="13" s="1"/>
  <c r="Q3" i="13"/>
  <c r="U3" i="13"/>
  <c r="T3" i="13" l="1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r>
          <rPr>
            <sz val="11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Completare le celle ripartendo i costi di auditing in modo proporzionale rispetto a RI e SS</t>
        </r>
      </text>
    </comment>
  </commentList>
</comments>
</file>

<file path=xl/sharedStrings.xml><?xml version="1.0" encoding="utf-8"?>
<sst xmlns="http://schemas.openxmlformats.org/spreadsheetml/2006/main" count="470" uniqueCount="134">
  <si>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</si>
  <si>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</si>
  <si>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</si>
  <si>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</si>
  <si>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</si>
  <si>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</si>
  <si>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</si>
  <si>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</si>
  <si>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</si>
  <si>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</si>
  <si>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</si>
  <si>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</si>
  <si>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</si>
  <si>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</si>
  <si>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</si>
  <si>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</si>
  <si>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</si>
  <si>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</si>
  <si>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</si>
  <si>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</si>
  <si>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</si>
  <si>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</si>
  <si>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</si>
  <si>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</si>
  <si>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</si>
  <si>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</si>
  <si>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</si>
  <si>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</si>
  <si>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</si>
  <si>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</si>
  <si>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</si>
  <si>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t>Start</t>
  </si>
  <si>
    <t>End</t>
  </si>
  <si>
    <t>RI o SS</t>
  </si>
  <si>
    <t>Partnre 1</t>
  </si>
  <si>
    <t>Partner 2</t>
  </si>
  <si>
    <t>TOTAL</t>
  </si>
  <si>
    <t>RI</t>
  </si>
  <si>
    <t>Task 1.1 -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</si>
  <si>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</si>
  <si>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</si>
  <si>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</si>
  <si>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</si>
  <si>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</si>
  <si>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</si>
  <si>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</si>
  <si>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</si>
  <si>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</si>
  <si>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</si>
  <si>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</si>
  <si>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</si>
  <si>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</si>
  <si>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</si>
  <si>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</si>
  <si>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</si>
  <si>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</si>
  <si>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</si>
  <si>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</si>
  <si>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</si>
  <si>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</si>
  <si>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</si>
  <si>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</si>
  <si>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</si>
  <si>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</si>
  <si>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</si>
  <si>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</si>
  <si>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</si>
  <si>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</si>
  <si>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</si>
  <si>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</si>
  <si>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</si>
  <si>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</si>
  <si>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</si>
  <si>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</si>
  <si>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</si>
  <si>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</si>
  <si>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</si>
  <si>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</si>
  <si>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</si>
  <si>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</si>
  <si>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</si>
  <si>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</si>
  <si>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</si>
  <si>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</si>
  <si>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</si>
  <si>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</si>
  <si>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</si>
  <si>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</si>
  <si>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</si>
  <si>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</si>
  <si>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</si>
  <si>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</si>
  <si>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</si>
  <si>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</si>
  <si>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</si>
  <si>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BUDGET DI PROGETTO</t>
  </si>
  <si>
    <t>Costo Personale</t>
  </si>
  <si>
    <t>COSTO TOTALE</t>
  </si>
  <si>
    <t>% INTENSITA' DI AIUTO</t>
  </si>
  <si>
    <t>Dim di Impresa</t>
  </si>
  <si>
    <t>TOT PERS (a)</t>
  </si>
  <si>
    <t>Grande</t>
  </si>
  <si>
    <t>Media</t>
  </si>
  <si>
    <t>Piccola</t>
  </si>
  <si>
    <t>Indiretti (b)</t>
  </si>
  <si>
    <t>Costi Gestionali e Amministrativi (c)</t>
  </si>
  <si>
    <t>Costi per materiali, attrezzature e licenze (e)</t>
  </si>
  <si>
    <t>Wp0 - Title</t>
  </si>
  <si>
    <t>Wp1 – Title</t>
  </si>
  <si>
    <t xml:space="preserve">WP2 - Title
</t>
  </si>
  <si>
    <t>Task 0.1 - Title</t>
  </si>
  <si>
    <t>Task 0.2 - Title</t>
  </si>
  <si>
    <t>Task 0.3 - Title</t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</si>
  <si>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Leader. A fianco sono indicati numeri provvisori come esempio</t>
    </r>
  </si>
  <si>
    <t>Mesi Ricerca Industriale</t>
  </si>
  <si>
    <t>Mesi Sviluppo Sperimentale</t>
  </si>
  <si>
    <t>WP0</t>
  </si>
  <si>
    <t>Parnrer 3</t>
  </si>
  <si>
    <t xml:space="preserve"> € INTENSITA' DI AIUTO</t>
  </si>
  <si>
    <t>TOTALE COSTI RI</t>
  </si>
  <si>
    <t>TOTALE COSTI SS</t>
  </si>
  <si>
    <t>Costi amministrativi entro il 10% dei costi di personale</t>
  </si>
  <si>
    <t>Costi del personale non superiori al 70% del costo totale</t>
  </si>
  <si>
    <t>check OdR</t>
  </si>
  <si>
    <t xml:space="preserve">% non superiore al 30% e non inferiore al 10% </t>
  </si>
  <si>
    <t>check costi amministrativi</t>
  </si>
  <si>
    <t>check costi Personale</t>
  </si>
  <si>
    <t>check quota partner non OdR</t>
  </si>
  <si>
    <t>check costo totale massimo</t>
  </si>
  <si>
    <t>Percentuale dei partner</t>
  </si>
  <si>
    <t>Le celle in azzurro si autocompilano, completare le celle bianche con i dati dei budget dei singoli partners come da fogli compilati. Le celle in giallo sono celle di controllo e sono OK se sono rispettati i vincoli</t>
  </si>
  <si>
    <t>ESEMPIO</t>
  </si>
  <si>
    <t>Ciascun partner non inferiore al 30% del costo totale</t>
  </si>
  <si>
    <t>Ciascun partner non superiore al 70% del costo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</si>
</sst>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sz val="12"/>
      <color rgb="FF9C5700"/>
      <name val="Calibri"/>
      <family val="2"/>
      <scheme val="minor"/>
    </font>
    <font>
      <b/>
      <sz val="12"/>
      <color rgb="FF9C5700"/>
      <name val="Calibri"/>
      <family val="2"/>
      <scheme val="minor"/>
    </font>
    <font>
      <sz val="7"/>
      <name val="Calibri"/>
      <family val="2"/>
    </font>
    <font>
      <sz val="10"/>
      <color rgb="FF404040"/>
      <name val="Titillium Web"/>
    </font>
    <font>
      <sz val="7"/>
      <color rgb="FF404040"/>
      <name val="Titillium Web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  <fill>
      <patternFill patternType="solid">
        <fgColor rgb="FFFFEB9C"/>
      </patternFill>
    </fill>
  </fills>
  <borders count="1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theme="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20" borderId="0" applyNumberFormat="0" applyBorder="0" applyAlignment="0" applyProtection="0"/>
  </cellStyleXfs>
  <cellXfs count="41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left" vertical="center" wrapText="1" readingOrder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0" xfId="0" applyFont="1"/>
    <xf numFmtId="0" fontId="0" fillId="5" borderId="0" xfId="0" applyFill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44" fontId="0" fillId="4" borderId="28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44" fontId="0" fillId="4" borderId="36" xfId="2" applyFont="1" applyFill="1" applyBorder="1" applyAlignment="1">
      <alignment horizontal="center" vertical="center"/>
    </xf>
    <xf numFmtId="44" fontId="0" fillId="4" borderId="36" xfId="0" applyNumberForma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7" fillId="5" borderId="0" xfId="0" applyFont="1" applyFill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44" fontId="0" fillId="4" borderId="34" xfId="0" applyNumberForma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44" fontId="0" fillId="4" borderId="28" xfId="2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4" fontId="14" fillId="4" borderId="19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4" fontId="0" fillId="4" borderId="19" xfId="0" applyNumberFormat="1" applyFill="1" applyBorder="1" applyAlignment="1">
      <alignment horizontal="center" vertical="center"/>
    </xf>
    <xf numFmtId="44" fontId="0" fillId="4" borderId="34" xfId="2" applyFont="1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6" fillId="7" borderId="51" xfId="0" applyFont="1" applyFill="1" applyBorder="1" applyAlignment="1">
      <alignment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44" fontId="15" fillId="4" borderId="66" xfId="0" applyNumberFormat="1" applyFont="1" applyFill="1" applyBorder="1" applyAlignment="1">
      <alignment horizontal="center" vertical="center"/>
    </xf>
    <xf numFmtId="0" fontId="15" fillId="4" borderId="67" xfId="0" applyFont="1" applyFill="1" applyBorder="1" applyAlignment="1">
      <alignment horizontal="center" vertical="center"/>
    </xf>
    <xf numFmtId="44" fontId="15" fillId="4" borderId="24" xfId="0" applyNumberFormat="1" applyFont="1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 vertical="center" wrapText="1"/>
    </xf>
    <xf numFmtId="44" fontId="14" fillId="3" borderId="19" xfId="2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44" fontId="14" fillId="3" borderId="56" xfId="2" applyFont="1" applyFill="1" applyBorder="1" applyAlignment="1">
      <alignment horizontal="center" vertical="center"/>
    </xf>
    <xf numFmtId="1" fontId="14" fillId="3" borderId="57" xfId="2" applyNumberFormat="1" applyFont="1" applyFill="1" applyBorder="1" applyAlignment="1">
      <alignment horizontal="center" vertical="center"/>
    </xf>
    <xf numFmtId="44" fontId="14" fillId="3" borderId="57" xfId="2" applyFont="1" applyFill="1" applyBorder="1" applyAlignment="1">
      <alignment horizontal="center" vertical="center"/>
    </xf>
    <xf numFmtId="44" fontId="14" fillId="3" borderId="61" xfId="2" applyFont="1" applyFill="1" applyBorder="1" applyAlignment="1">
      <alignment horizontal="center" vertical="center"/>
    </xf>
    <xf numFmtId="44" fontId="14" fillId="3" borderId="60" xfId="2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1" fontId="15" fillId="9" borderId="64" xfId="0" applyNumberFormat="1" applyFont="1" applyFill="1" applyBorder="1" applyAlignment="1">
      <alignment horizontal="center" vertical="center" wrapText="1"/>
    </xf>
    <xf numFmtId="44" fontId="15" fillId="9" borderId="64" xfId="0" applyNumberFormat="1" applyFont="1" applyFill="1" applyBorder="1" applyAlignment="1">
      <alignment horizontal="center" vertical="center"/>
    </xf>
    <xf numFmtId="44" fontId="15" fillId="9" borderId="68" xfId="0" applyNumberFormat="1" applyFont="1" applyFill="1" applyBorder="1" applyAlignment="1">
      <alignment horizontal="center" vertical="center"/>
    </xf>
    <xf numFmtId="44" fontId="15" fillId="9" borderId="60" xfId="0" applyNumberFormat="1" applyFont="1" applyFill="1" applyBorder="1" applyAlignment="1">
      <alignment horizontal="center" vertical="center"/>
    </xf>
    <xf numFmtId="1" fontId="14" fillId="4" borderId="69" xfId="0" applyNumberFormat="1" applyFont="1" applyFill="1" applyBorder="1" applyAlignment="1">
      <alignment horizontal="center" vertical="center"/>
    </xf>
    <xf numFmtId="1" fontId="14" fillId="4" borderId="70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26" xfId="0" applyNumberFormat="1" applyFont="1" applyFill="1" applyBorder="1" applyAlignment="1">
      <alignment horizontal="center" vertical="center"/>
    </xf>
    <xf numFmtId="1" fontId="14" fillId="4" borderId="27" xfId="0" applyNumberFormat="1" applyFont="1" applyFill="1" applyBorder="1" applyAlignment="1">
      <alignment horizontal="center" vertical="center"/>
    </xf>
    <xf numFmtId="1" fontId="14" fillId="4" borderId="71" xfId="0" applyNumberFormat="1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1" fontId="14" fillId="4" borderId="59" xfId="0" applyNumberFormat="1" applyFont="1" applyFill="1" applyBorder="1" applyAlignment="1">
      <alignment horizontal="center" vertical="center"/>
    </xf>
    <xf numFmtId="1" fontId="14" fillId="4" borderId="24" xfId="0" applyNumberFormat="1" applyFont="1" applyFill="1" applyBorder="1" applyAlignment="1">
      <alignment horizontal="center" vertical="center"/>
    </xf>
    <xf numFmtId="1" fontId="14" fillId="4" borderId="72" xfId="0" applyNumberFormat="1" applyFont="1" applyFill="1" applyBorder="1" applyAlignment="1">
      <alignment horizontal="center" vertical="center"/>
    </xf>
    <xf numFmtId="1" fontId="14" fillId="4" borderId="73" xfId="0" applyNumberFormat="1" applyFont="1" applyFill="1" applyBorder="1" applyAlignment="1">
      <alignment horizontal="center" vertical="center"/>
    </xf>
    <xf numFmtId="1" fontId="14" fillId="4" borderId="19" xfId="0" applyNumberFormat="1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1" fontId="0" fillId="0" borderId="36" xfId="2" applyNumberFormat="1" applyFont="1" applyFill="1" applyBorder="1" applyAlignment="1">
      <alignment horizontal="center" vertical="center"/>
    </xf>
    <xf numFmtId="1" fontId="0" fillId="0" borderId="28" xfId="2" applyNumberFormat="1" applyFont="1" applyFill="1" applyBorder="1" applyAlignment="1">
      <alignment horizontal="center" vertical="center"/>
    </xf>
    <xf numFmtId="1" fontId="0" fillId="0" borderId="34" xfId="2" applyNumberFormat="1" applyFont="1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44" fontId="15" fillId="9" borderId="66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Alignment="1">
      <alignment horizontal="center" vertical="center"/>
    </xf>
    <xf numFmtId="165" fontId="14" fillId="5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5" borderId="0" xfId="0" applyFill="1"/>
    <xf numFmtId="0" fontId="20" fillId="0" borderId="0" xfId="0" applyFont="1"/>
    <xf numFmtId="0" fontId="22" fillId="0" borderId="8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3" fillId="0" borderId="81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" vertical="center" textRotation="90" wrapText="1"/>
    </xf>
    <xf numFmtId="165" fontId="0" fillId="5" borderId="0" xfId="0" applyNumberFormat="1" applyFill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36" xfId="0" applyFont="1" applyBorder="1" applyAlignment="1">
      <alignment horizontal="left" vertical="center" wrapText="1"/>
    </xf>
    <xf numFmtId="165" fontId="14" fillId="5" borderId="95" xfId="0" applyNumberFormat="1" applyFont="1" applyFill="1" applyBorder="1" applyAlignment="1">
      <alignment horizontal="center" vertical="center"/>
    </xf>
    <xf numFmtId="165" fontId="14" fillId="5" borderId="27" xfId="0" applyNumberFormat="1" applyFont="1" applyFill="1" applyBorder="1" applyAlignment="1">
      <alignment horizontal="center" vertical="center"/>
    </xf>
    <xf numFmtId="165" fontId="14" fillId="5" borderId="71" xfId="0" applyNumberFormat="1" applyFont="1" applyFill="1" applyBorder="1" applyAlignment="1">
      <alignment horizontal="center" vertical="center"/>
    </xf>
    <xf numFmtId="0" fontId="0" fillId="5" borderId="95" xfId="0" applyFill="1" applyBorder="1" applyAlignment="1">
      <alignment horizontal="center" vertical="center"/>
    </xf>
    <xf numFmtId="165" fontId="14" fillId="5" borderId="96" xfId="0" applyNumberFormat="1" applyFont="1" applyFill="1" applyBorder="1" applyAlignment="1">
      <alignment horizontal="center" vertical="center"/>
    </xf>
    <xf numFmtId="0" fontId="26" fillId="0" borderId="27" xfId="0" applyFont="1" applyBorder="1" applyAlignment="1">
      <alignment vertical="center" wrapText="1"/>
    </xf>
    <xf numFmtId="0" fontId="29" fillId="11" borderId="28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164" fontId="5" fillId="0" borderId="28" xfId="0" applyNumberFormat="1" applyFont="1" applyBorder="1" applyAlignment="1">
      <alignment horizontal="center"/>
    </xf>
    <xf numFmtId="0" fontId="30" fillId="11" borderId="28" xfId="0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/>
    </xf>
    <xf numFmtId="0" fontId="26" fillId="11" borderId="75" xfId="0" applyFont="1" applyFill="1" applyBorder="1" applyAlignment="1">
      <alignment horizontal="center" vertical="center" wrapText="1"/>
    </xf>
    <xf numFmtId="0" fontId="4" fillId="0" borderId="75" xfId="0" applyFont="1" applyBorder="1" applyAlignment="1">
      <alignment horizontal="left"/>
    </xf>
    <xf numFmtId="0" fontId="28" fillId="11" borderId="75" xfId="0" applyFont="1" applyFill="1" applyBorder="1" applyAlignment="1">
      <alignment vertical="center"/>
    </xf>
    <xf numFmtId="0" fontId="30" fillId="11" borderId="75" xfId="0" applyFont="1" applyFill="1" applyBorder="1" applyAlignment="1">
      <alignment horizontal="center" vertical="center" wrapText="1"/>
    </xf>
    <xf numFmtId="164" fontId="5" fillId="0" borderId="75" xfId="0" applyNumberFormat="1" applyFont="1" applyBorder="1" applyAlignment="1">
      <alignment horizontal="center"/>
    </xf>
    <xf numFmtId="9" fontId="5" fillId="0" borderId="33" xfId="1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 vertical="center" wrapText="1"/>
    </xf>
    <xf numFmtId="0" fontId="28" fillId="11" borderId="75" xfId="0" applyFont="1" applyFill="1" applyBorder="1" applyAlignment="1">
      <alignment horizontal="center" vertical="center" wrapText="1"/>
    </xf>
    <xf numFmtId="9" fontId="5" fillId="0" borderId="75" xfId="1" applyFont="1" applyFill="1" applyBorder="1" applyAlignment="1">
      <alignment horizontal="center"/>
    </xf>
    <xf numFmtId="0" fontId="30" fillId="11" borderId="81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31" fillId="0" borderId="36" xfId="0" applyFont="1" applyBorder="1" applyAlignment="1">
      <alignment horizontal="center" vertical="top"/>
    </xf>
    <xf numFmtId="0" fontId="26" fillId="11" borderId="100" xfId="0" applyFont="1" applyFill="1" applyBorder="1" applyAlignment="1">
      <alignment horizontal="center" vertical="center" wrapText="1"/>
    </xf>
    <xf numFmtId="0" fontId="26" fillId="11" borderId="101" xfId="0" applyFont="1" applyFill="1" applyBorder="1" applyAlignment="1">
      <alignment horizontal="center" vertical="center" wrapText="1"/>
    </xf>
    <xf numFmtId="0" fontId="26" fillId="11" borderId="102" xfId="0" applyFont="1" applyFill="1" applyBorder="1" applyAlignment="1">
      <alignment horizontal="center" vertical="center" wrapText="1"/>
    </xf>
    <xf numFmtId="0" fontId="26" fillId="11" borderId="101" xfId="0" applyFont="1" applyFill="1" applyBorder="1" applyAlignment="1">
      <alignment horizontal="center" vertical="center"/>
    </xf>
    <xf numFmtId="0" fontId="26" fillId="11" borderId="104" xfId="0" applyFont="1" applyFill="1" applyBorder="1" applyAlignment="1">
      <alignment horizontal="center" vertical="center" wrapText="1"/>
    </xf>
    <xf numFmtId="0" fontId="26" fillId="11" borderId="80" xfId="0" applyFont="1" applyFill="1" applyBorder="1" applyAlignment="1">
      <alignment horizontal="center" vertical="center" wrapText="1"/>
    </xf>
    <xf numFmtId="0" fontId="26" fillId="11" borderId="106" xfId="0" applyFont="1" applyFill="1" applyBorder="1" applyAlignment="1">
      <alignment horizontal="center" vertical="center" wrapText="1"/>
    </xf>
    <xf numFmtId="0" fontId="26" fillId="11" borderId="107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65" fontId="0" fillId="16" borderId="53" xfId="2" applyNumberFormat="1" applyFont="1" applyFill="1" applyBorder="1" applyAlignment="1">
      <alignment horizontal="center" vertical="center"/>
    </xf>
    <xf numFmtId="165" fontId="0" fillId="16" borderId="36" xfId="2" applyNumberFormat="1" applyFont="1" applyFill="1" applyBorder="1" applyAlignment="1">
      <alignment horizontal="center" vertical="center"/>
    </xf>
    <xf numFmtId="165" fontId="0" fillId="16" borderId="78" xfId="2" applyNumberFormat="1" applyFont="1" applyFill="1" applyBorder="1" applyAlignment="1">
      <alignment horizontal="center" vertical="center"/>
    </xf>
    <xf numFmtId="165" fontId="0" fillId="16" borderId="77" xfId="2" applyNumberFormat="1" applyFont="1" applyFill="1" applyBorder="1" applyAlignment="1">
      <alignment horizontal="center" vertical="center"/>
    </xf>
    <xf numFmtId="165" fontId="0" fillId="16" borderId="81" xfId="2" applyNumberFormat="1" applyFont="1" applyFill="1" applyBorder="1" applyAlignment="1">
      <alignment horizontal="center" vertical="center"/>
    </xf>
    <xf numFmtId="165" fontId="0" fillId="16" borderId="79" xfId="2" applyNumberFormat="1" applyFont="1" applyFill="1" applyBorder="1" applyAlignment="1">
      <alignment horizontal="center" vertical="center"/>
    </xf>
    <xf numFmtId="165" fontId="0" fillId="16" borderId="31" xfId="2" applyNumberFormat="1" applyFont="1" applyFill="1" applyBorder="1" applyAlignment="1">
      <alignment horizontal="center" vertical="center"/>
    </xf>
    <xf numFmtId="165" fontId="14" fillId="16" borderId="44" xfId="0" applyNumberFormat="1" applyFont="1" applyFill="1" applyBorder="1" applyAlignment="1">
      <alignment horizontal="center" vertical="center"/>
    </xf>
    <xf numFmtId="165" fontId="14" fillId="16" borderId="40" xfId="0" applyNumberFormat="1" applyFont="1" applyFill="1" applyBorder="1" applyAlignment="1">
      <alignment horizontal="center" vertical="center"/>
    </xf>
    <xf numFmtId="165" fontId="14" fillId="16" borderId="61" xfId="0" applyNumberFormat="1" applyFont="1" applyFill="1" applyBorder="1" applyAlignment="1">
      <alignment horizontal="center" vertical="center"/>
    </xf>
    <xf numFmtId="165" fontId="14" fillId="16" borderId="56" xfId="0" applyNumberFormat="1" applyFont="1" applyFill="1" applyBorder="1" applyAlignment="1">
      <alignment horizontal="center" vertical="center"/>
    </xf>
    <xf numFmtId="165" fontId="14" fillId="16" borderId="57" xfId="0" applyNumberFormat="1" applyFont="1" applyFill="1" applyBorder="1" applyAlignment="1">
      <alignment horizontal="center" vertical="center"/>
    </xf>
    <xf numFmtId="165" fontId="14" fillId="16" borderId="59" xfId="0" applyNumberFormat="1" applyFont="1" applyFill="1" applyBorder="1" applyAlignment="1">
      <alignment horizontal="center" vertical="center"/>
    </xf>
    <xf numFmtId="165" fontId="14" fillId="16" borderId="24" xfId="0" applyNumberFormat="1" applyFont="1" applyFill="1" applyBorder="1" applyAlignment="1">
      <alignment horizontal="center" vertical="center"/>
    </xf>
    <xf numFmtId="165" fontId="0" fillId="16" borderId="53" xfId="0" applyNumberFormat="1" applyFill="1" applyBorder="1" applyAlignment="1">
      <alignment horizontal="center" vertical="center"/>
    </xf>
    <xf numFmtId="165" fontId="0" fillId="16" borderId="28" xfId="2" applyNumberFormat="1" applyFont="1" applyFill="1" applyBorder="1" applyAlignment="1">
      <alignment horizontal="center" vertical="center"/>
    </xf>
    <xf numFmtId="165" fontId="0" fillId="16" borderId="77" xfId="0" applyNumberForma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165" fontId="14" fillId="14" borderId="61" xfId="2" applyNumberFormat="1" applyFont="1" applyFill="1" applyBorder="1" applyAlignment="1">
      <alignment horizontal="center" vertical="center"/>
    </xf>
    <xf numFmtId="1" fontId="14" fillId="14" borderId="60" xfId="2" applyNumberFormat="1" applyFont="1" applyFill="1" applyBorder="1" applyAlignment="1">
      <alignment horizontal="center" vertical="center"/>
    </xf>
    <xf numFmtId="1" fontId="14" fillId="14" borderId="61" xfId="2" applyNumberFormat="1" applyFont="1" applyFill="1" applyBorder="1" applyAlignment="1">
      <alignment horizontal="center" vertical="center"/>
    </xf>
    <xf numFmtId="165" fontId="14" fillId="14" borderId="60" xfId="2" applyNumberFormat="1" applyFont="1" applyFill="1" applyBorder="1" applyAlignment="1">
      <alignment horizontal="center" vertical="center"/>
    </xf>
    <xf numFmtId="165" fontId="14" fillId="14" borderId="57" xfId="2" applyNumberFormat="1" applyFont="1" applyFill="1" applyBorder="1" applyAlignment="1">
      <alignment horizontal="center" vertical="center"/>
    </xf>
    <xf numFmtId="165" fontId="14" fillId="14" borderId="19" xfId="2" applyNumberFormat="1" applyFont="1" applyFill="1" applyBorder="1" applyAlignment="1">
      <alignment horizontal="center" vertical="center"/>
    </xf>
    <xf numFmtId="1" fontId="15" fillId="14" borderId="19" xfId="0" applyNumberFormat="1" applyFont="1" applyFill="1" applyBorder="1" applyAlignment="1">
      <alignment horizontal="center" vertical="center"/>
    </xf>
    <xf numFmtId="165" fontId="15" fillId="14" borderId="19" xfId="2" applyNumberFormat="1" applyFont="1" applyFill="1" applyBorder="1" applyAlignment="1">
      <alignment horizontal="center" vertical="center"/>
    </xf>
    <xf numFmtId="165" fontId="15" fillId="14" borderId="24" xfId="2" applyNumberFormat="1" applyFont="1" applyFill="1" applyBorder="1" applyAlignment="1">
      <alignment horizontal="center" vertical="center"/>
    </xf>
    <xf numFmtId="164" fontId="5" fillId="18" borderId="75" xfId="0" applyNumberFormat="1" applyFont="1" applyFill="1" applyBorder="1" applyAlignment="1">
      <alignment horizontal="center"/>
    </xf>
    <xf numFmtId="164" fontId="5" fillId="18" borderId="33" xfId="0" applyNumberFormat="1" applyFont="1" applyFill="1" applyBorder="1" applyAlignment="1">
      <alignment horizontal="center"/>
    </xf>
    <xf numFmtId="164" fontId="5" fillId="18" borderId="62" xfId="0" applyNumberFormat="1" applyFont="1" applyFill="1" applyBorder="1" applyAlignment="1">
      <alignment horizontal="center"/>
    </xf>
    <xf numFmtId="0" fontId="0" fillId="5" borderId="103" xfId="0" applyFill="1" applyBorder="1"/>
    <xf numFmtId="0" fontId="10" fillId="19" borderId="18" xfId="0" applyFont="1" applyFill="1" applyBorder="1" applyAlignment="1">
      <alignment horizontal="center" vertical="center" wrapText="1"/>
    </xf>
    <xf numFmtId="0" fontId="10" fillId="19" borderId="17" xfId="0" applyFont="1" applyFill="1" applyBorder="1" applyAlignment="1">
      <alignment horizontal="center" vertical="center" wrapText="1"/>
    </xf>
    <xf numFmtId="0" fontId="10" fillId="19" borderId="24" xfId="0" applyFont="1" applyFill="1" applyBorder="1" applyAlignment="1">
      <alignment horizontal="center" vertical="center" wrapText="1"/>
    </xf>
    <xf numFmtId="0" fontId="10" fillId="19" borderId="16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10" fillId="19" borderId="87" xfId="0" applyFont="1" applyFill="1" applyBorder="1" applyAlignment="1">
      <alignment horizontal="center" vertical="center" wrapText="1"/>
    </xf>
    <xf numFmtId="0" fontId="10" fillId="19" borderId="84" xfId="0" applyFont="1" applyFill="1" applyBorder="1" applyAlignment="1">
      <alignment horizontal="center" vertical="center" wrapText="1"/>
    </xf>
    <xf numFmtId="0" fontId="10" fillId="19" borderId="85" xfId="0" applyFont="1" applyFill="1" applyBorder="1" applyAlignment="1">
      <alignment horizontal="center" vertical="center" wrapText="1"/>
    </xf>
    <xf numFmtId="0" fontId="10" fillId="19" borderId="26" xfId="0" applyFont="1" applyFill="1" applyBorder="1" applyAlignment="1">
      <alignment horizontal="center" vertical="center" wrapText="1"/>
    </xf>
    <xf numFmtId="0" fontId="10" fillId="16" borderId="86" xfId="0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10" fillId="16" borderId="7" xfId="0" applyFont="1" applyFill="1" applyBorder="1" applyAlignment="1">
      <alignment horizontal="center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3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/>
    </xf>
    <xf numFmtId="0" fontId="17" fillId="16" borderId="19" xfId="0" applyFont="1" applyFill="1" applyBorder="1" applyAlignment="1">
      <alignment vertical="center" wrapText="1"/>
    </xf>
    <xf numFmtId="0" fontId="26" fillId="11" borderId="113" xfId="0" applyFont="1" applyFill="1" applyBorder="1" applyAlignment="1">
      <alignment horizontal="center" vertical="center" wrapText="1"/>
    </xf>
    <xf numFmtId="165" fontId="15" fillId="14" borderId="32" xfId="2" applyNumberFormat="1" applyFont="1" applyFill="1" applyBorder="1" applyAlignment="1">
      <alignment horizontal="center" vertical="center"/>
    </xf>
    <xf numFmtId="164" fontId="4" fillId="5" borderId="0" xfId="0" applyNumberFormat="1" applyFont="1" applyFill="1" applyAlignment="1">
      <alignment horizontal="center"/>
    </xf>
    <xf numFmtId="165" fontId="0" fillId="16" borderId="74" xfId="2" applyNumberFormat="1" applyFont="1" applyFill="1" applyBorder="1" applyAlignment="1">
      <alignment horizontal="center" vertical="center"/>
    </xf>
    <xf numFmtId="0" fontId="26" fillId="11" borderId="11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/>
    </xf>
    <xf numFmtId="1" fontId="14" fillId="14" borderId="117" xfId="2" applyNumberFormat="1" applyFont="1" applyFill="1" applyBorder="1" applyAlignment="1">
      <alignment horizontal="center" vertical="center"/>
    </xf>
    <xf numFmtId="1" fontId="15" fillId="14" borderId="25" xfId="0" applyNumberFormat="1" applyFont="1" applyFill="1" applyBorder="1" applyAlignment="1">
      <alignment horizontal="center" vertical="center"/>
    </xf>
    <xf numFmtId="165" fontId="14" fillId="14" borderId="117" xfId="2" applyNumberFormat="1" applyFont="1" applyFill="1" applyBorder="1" applyAlignment="1">
      <alignment horizontal="center" vertical="center"/>
    </xf>
    <xf numFmtId="165" fontId="15" fillId="14" borderId="25" xfId="2" applyNumberFormat="1" applyFont="1" applyFill="1" applyBorder="1" applyAlignment="1">
      <alignment horizontal="center" vertical="center"/>
    </xf>
    <xf numFmtId="44" fontId="0" fillId="5" borderId="59" xfId="0" applyNumberFormat="1" applyFill="1" applyBorder="1" applyAlignment="1">
      <alignment horizontal="center" vertical="center"/>
    </xf>
    <xf numFmtId="165" fontId="15" fillId="14" borderId="71" xfId="2" applyNumberFormat="1" applyFont="1" applyFill="1" applyBorder="1" applyAlignment="1">
      <alignment horizontal="center" vertical="center"/>
    </xf>
    <xf numFmtId="165" fontId="14" fillId="16" borderId="117" xfId="0" applyNumberFormat="1" applyFont="1" applyFill="1" applyBorder="1" applyAlignment="1">
      <alignment horizontal="center" vertical="center"/>
    </xf>
    <xf numFmtId="165" fontId="0" fillId="0" borderId="74" xfId="2" applyNumberFormat="1" applyFont="1" applyFill="1" applyBorder="1" applyAlignment="1" applyProtection="1">
      <alignment horizontal="center" vertical="center"/>
    </xf>
    <xf numFmtId="165" fontId="0" fillId="0" borderId="75" xfId="2" applyNumberFormat="1" applyFont="1" applyFill="1" applyBorder="1" applyAlignment="1" applyProtection="1">
      <alignment horizontal="center" vertical="center"/>
    </xf>
    <xf numFmtId="165" fontId="0" fillId="0" borderId="76" xfId="2" applyNumberFormat="1" applyFont="1" applyFill="1" applyBorder="1" applyAlignment="1" applyProtection="1">
      <alignment horizontal="center" vertical="center"/>
    </xf>
    <xf numFmtId="1" fontId="0" fillId="0" borderId="53" xfId="2" applyNumberFormat="1" applyFont="1" applyFill="1" applyBorder="1" applyAlignment="1" applyProtection="1">
      <alignment horizontal="center" vertical="center"/>
      <protection locked="0"/>
    </xf>
    <xf numFmtId="1" fontId="0" fillId="0" borderId="105" xfId="2" applyNumberFormat="1" applyFont="1" applyFill="1" applyBorder="1" applyAlignment="1" applyProtection="1">
      <alignment horizontal="center" vertical="center"/>
      <protection locked="0"/>
    </xf>
    <xf numFmtId="1" fontId="0" fillId="0" borderId="33" xfId="2" applyNumberFormat="1" applyFont="1" applyFill="1" applyBorder="1" applyAlignment="1" applyProtection="1">
      <alignment horizontal="center" vertical="center"/>
      <protection locked="0"/>
    </xf>
    <xf numFmtId="1" fontId="0" fillId="0" borderId="75" xfId="2" applyNumberFormat="1" applyFont="1" applyFill="1" applyBorder="1" applyAlignment="1" applyProtection="1">
      <alignment horizontal="center" vertical="center"/>
      <protection locked="0"/>
    </xf>
    <xf numFmtId="1" fontId="0" fillId="0" borderId="55" xfId="2" applyNumberFormat="1" applyFont="1" applyFill="1" applyBorder="1" applyAlignment="1" applyProtection="1">
      <alignment horizontal="center" vertical="center"/>
      <protection locked="0"/>
    </xf>
    <xf numFmtId="1" fontId="0" fillId="0" borderId="76" xfId="2" applyNumberFormat="1" applyFont="1" applyFill="1" applyBorder="1" applyAlignment="1" applyProtection="1">
      <alignment horizontal="center" vertical="center"/>
      <protection locked="0"/>
    </xf>
    <xf numFmtId="1" fontId="0" fillId="0" borderId="77" xfId="2" applyNumberFormat="1" applyFont="1" applyFill="1" applyBorder="1" applyAlignment="1" applyProtection="1">
      <alignment horizontal="center" vertical="center"/>
      <protection locked="0"/>
    </xf>
    <xf numFmtId="165" fontId="15" fillId="0" borderId="114" xfId="2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118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4" fillId="0" borderId="119" xfId="0" applyFont="1" applyBorder="1" applyAlignment="1" applyProtection="1">
      <alignment horizontal="center" vertical="center"/>
      <protection locked="0"/>
    </xf>
    <xf numFmtId="0" fontId="0" fillId="5" borderId="120" xfId="0" applyFill="1" applyBorder="1" applyAlignment="1">
      <alignment horizontal="center" vertical="center"/>
    </xf>
    <xf numFmtId="165" fontId="15" fillId="16" borderId="45" xfId="2" applyNumberFormat="1" applyFont="1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14" fillId="16" borderId="48" xfId="0" applyFont="1" applyFill="1" applyBorder="1" applyAlignment="1">
      <alignment horizontal="center" vertical="center"/>
    </xf>
    <xf numFmtId="0" fontId="14" fillId="16" borderId="49" xfId="0" applyFont="1" applyFill="1" applyBorder="1" applyAlignment="1">
      <alignment horizontal="center" vertical="center"/>
    </xf>
    <xf numFmtId="0" fontId="14" fillId="16" borderId="45" xfId="0" applyFont="1" applyFill="1" applyBorder="1" applyAlignment="1">
      <alignment horizontal="center" vertical="center"/>
    </xf>
    <xf numFmtId="1" fontId="14" fillId="16" borderId="45" xfId="0" applyNumberFormat="1" applyFont="1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165" fontId="0" fillId="0" borderId="77" xfId="2" applyNumberFormat="1" applyFont="1" applyFill="1" applyBorder="1" applyAlignment="1" applyProtection="1">
      <alignment horizontal="center" vertical="center"/>
    </xf>
    <xf numFmtId="0" fontId="30" fillId="11" borderId="55" xfId="0" applyFont="1" applyFill="1" applyBorder="1" applyAlignment="1">
      <alignment horizontal="center" vertical="center" wrapText="1"/>
    </xf>
    <xf numFmtId="164" fontId="5" fillId="0" borderId="83" xfId="0" applyNumberFormat="1" applyFont="1" applyBorder="1" applyAlignment="1">
      <alignment horizontal="center"/>
    </xf>
    <xf numFmtId="0" fontId="4" fillId="18" borderId="56" xfId="0" applyFont="1" applyFill="1" applyBorder="1" applyAlignment="1">
      <alignment horizontal="center"/>
    </xf>
    <xf numFmtId="0" fontId="4" fillId="18" borderId="57" xfId="0" applyFont="1" applyFill="1" applyBorder="1" applyAlignment="1">
      <alignment horizontal="center"/>
    </xf>
    <xf numFmtId="164" fontId="4" fillId="18" borderId="61" xfId="0" applyNumberFormat="1" applyFont="1" applyFill="1" applyBorder="1" applyAlignment="1">
      <alignment horizontal="center"/>
    </xf>
    <xf numFmtId="164" fontId="4" fillId="18" borderId="60" xfId="0" applyNumberFormat="1" applyFont="1" applyFill="1" applyBorder="1" applyAlignment="1">
      <alignment horizontal="center"/>
    </xf>
    <xf numFmtId="164" fontId="4" fillId="18" borderId="19" xfId="0" applyNumberFormat="1" applyFont="1" applyFill="1" applyBorder="1" applyAlignment="1">
      <alignment horizontal="center"/>
    </xf>
    <xf numFmtId="164" fontId="5" fillId="18" borderId="19" xfId="0" applyNumberFormat="1" applyFont="1" applyFill="1" applyBorder="1" applyAlignment="1">
      <alignment horizontal="center"/>
    </xf>
    <xf numFmtId="0" fontId="30" fillId="11" borderId="83" xfId="0" applyFont="1" applyFill="1" applyBorder="1" applyAlignment="1">
      <alignment horizontal="center" vertical="center" wrapText="1"/>
    </xf>
    <xf numFmtId="164" fontId="5" fillId="0" borderId="55" xfId="0" applyNumberFormat="1" applyFont="1" applyBorder="1" applyAlignment="1">
      <alignment horizontal="center"/>
    </xf>
    <xf numFmtId="164" fontId="4" fillId="18" borderId="59" xfId="0" applyNumberFormat="1" applyFont="1" applyFill="1" applyBorder="1" applyAlignment="1">
      <alignment horizontal="center"/>
    </xf>
    <xf numFmtId="0" fontId="0" fillId="0" borderId="115" xfId="0" applyBorder="1" applyAlignment="1">
      <alignment horizontal="center" vertical="center"/>
    </xf>
    <xf numFmtId="0" fontId="16" fillId="10" borderId="98" xfId="0" applyFont="1" applyFill="1" applyBorder="1" applyAlignment="1">
      <alignment horizontal="center" vertical="center"/>
    </xf>
    <xf numFmtId="0" fontId="16" fillId="10" borderId="99" xfId="0" applyFont="1" applyFill="1" applyBorder="1" applyAlignment="1">
      <alignment horizontal="center" vertical="center"/>
    </xf>
    <xf numFmtId="0" fontId="4" fillId="18" borderId="1" xfId="0" applyFont="1" applyFill="1" applyBorder="1" applyAlignment="1" applyProtection="1">
      <alignment horizontal="center"/>
      <protection hidden="1"/>
    </xf>
    <xf numFmtId="0" fontId="5" fillId="18" borderId="1" xfId="0" applyFont="1" applyFill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 vertical="center" readingOrder="1"/>
      <protection locked="0"/>
    </xf>
    <xf numFmtId="0" fontId="10" fillId="0" borderId="43" xfId="0" applyFont="1" applyBorder="1" applyAlignment="1" applyProtection="1">
      <alignment horizontal="center" vertical="center" readingOrder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center" vertical="center" wrapText="1" readingOrder="1"/>
      <protection locked="0"/>
    </xf>
    <xf numFmtId="0" fontId="9" fillId="0" borderId="26" xfId="0" applyFont="1" applyBorder="1" applyAlignment="1" applyProtection="1">
      <alignment horizontal="center" vertical="center" wrapText="1" readingOrder="1"/>
      <protection locked="0"/>
    </xf>
    <xf numFmtId="0" fontId="9" fillId="0" borderId="84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85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6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 applyProtection="1">
      <alignment horizontal="center" vertical="center" wrapText="1" readingOrder="1"/>
      <protection locked="0"/>
    </xf>
    <xf numFmtId="0" fontId="10" fillId="0" borderId="87" xfId="0" applyFont="1" applyBorder="1" applyAlignment="1" applyProtection="1">
      <alignment horizontal="center" vertical="center" wrapText="1" readingOrder="1"/>
      <protection locked="0"/>
    </xf>
    <xf numFmtId="0" fontId="9" fillId="0" borderId="88" xfId="0" applyFont="1" applyBorder="1" applyAlignment="1" applyProtection="1">
      <alignment horizontal="center" vertical="center" wrapText="1" readingOrder="1"/>
      <protection locked="0"/>
    </xf>
    <xf numFmtId="0" fontId="10" fillId="0" borderId="89" xfId="0" applyFont="1" applyBorder="1" applyAlignment="1" applyProtection="1">
      <alignment horizontal="center" vertical="center" wrapText="1" readingOrder="1"/>
      <protection locked="0"/>
    </xf>
    <xf numFmtId="0" fontId="9" fillId="0" borderId="90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91" xfId="0" applyFont="1" applyBorder="1" applyAlignment="1" applyProtection="1">
      <alignment horizontal="center" vertical="center" wrapText="1" readingOrder="1"/>
      <protection locked="0"/>
    </xf>
    <xf numFmtId="0" fontId="10" fillId="0" borderId="21" xfId="0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 applyProtection="1">
      <alignment horizontal="center" vertical="center" wrapText="1" readingOrder="1"/>
      <protection locked="0"/>
    </xf>
    <xf numFmtId="0" fontId="10" fillId="0" borderId="92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88" xfId="0" applyFont="1" applyBorder="1" applyAlignment="1" applyProtection="1">
      <alignment horizontal="center"/>
      <protection locked="0"/>
    </xf>
    <xf numFmtId="0" fontId="13" fillId="0" borderId="88" xfId="0" applyFont="1" applyBorder="1" applyAlignment="1" applyProtection="1">
      <alignment horizontal="center" vertical="center" wrapText="1" readingOrder="1"/>
      <protection locked="0"/>
    </xf>
    <xf numFmtId="0" fontId="9" fillId="0" borderId="93" xfId="0" applyFont="1" applyBorder="1" applyAlignment="1" applyProtection="1">
      <alignment horizontal="center" vertical="center" wrapText="1" readingOrder="1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94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left" vertical="center" wrapText="1" readingOrder="1"/>
      <protection locked="0"/>
    </xf>
    <xf numFmtId="0" fontId="9" fillId="0" borderId="11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 readingOrder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top" wrapText="1" readingOrder="1"/>
      <protection locked="0"/>
    </xf>
    <xf numFmtId="165" fontId="15" fillId="14" borderId="19" xfId="2" applyNumberFormat="1" applyFont="1" applyFill="1" applyBorder="1" applyAlignment="1" applyProtection="1">
      <alignment horizontal="center" vertical="center"/>
      <protection hidden="1"/>
    </xf>
    <xf numFmtId="165" fontId="15" fillId="14" borderId="25" xfId="2" applyNumberFormat="1" applyFont="1" applyFill="1" applyBorder="1" applyAlignment="1" applyProtection="1">
      <alignment horizontal="center" vertical="center"/>
      <protection hidden="1"/>
    </xf>
    <xf numFmtId="0" fontId="2" fillId="0" borderId="3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44" fontId="2" fillId="4" borderId="36" xfId="2" applyFont="1" applyFill="1" applyBorder="1" applyAlignment="1">
      <alignment horizontal="center" vertical="center"/>
    </xf>
    <xf numFmtId="44" fontId="2" fillId="5" borderId="50" xfId="2" applyFont="1" applyFill="1" applyBorder="1" applyAlignment="1">
      <alignment horizontal="center" vertical="center"/>
    </xf>
    <xf numFmtId="44" fontId="2" fillId="5" borderId="0" xfId="2" applyFont="1" applyFill="1" applyBorder="1" applyAlignment="1">
      <alignment horizontal="center" vertical="center"/>
    </xf>
    <xf numFmtId="44" fontId="2" fillId="4" borderId="28" xfId="2" applyFont="1" applyFill="1" applyBorder="1" applyAlignment="1">
      <alignment horizontal="center" vertical="center"/>
    </xf>
    <xf numFmtId="44" fontId="2" fillId="4" borderId="34" xfId="2" applyFont="1" applyFill="1" applyBorder="1" applyAlignment="1">
      <alignment horizontal="center" vertical="center"/>
    </xf>
    <xf numFmtId="44" fontId="2" fillId="5" borderId="58" xfId="2" applyFont="1" applyFill="1" applyBorder="1" applyAlignment="1">
      <alignment horizontal="center" vertical="center"/>
    </xf>
    <xf numFmtId="44" fontId="2" fillId="5" borderId="59" xfId="2" applyFont="1" applyFill="1" applyBorder="1" applyAlignment="1">
      <alignment horizontal="center" vertical="center"/>
    </xf>
    <xf numFmtId="44" fontId="2" fillId="4" borderId="36" xfId="0" applyNumberFormat="1" applyFont="1" applyFill="1" applyBorder="1" applyAlignment="1">
      <alignment horizontal="center" vertical="center"/>
    </xf>
    <xf numFmtId="44" fontId="2" fillId="4" borderId="28" xfId="0" applyNumberFormat="1" applyFont="1" applyFill="1" applyBorder="1" applyAlignment="1">
      <alignment horizontal="center" vertical="center"/>
    </xf>
    <xf numFmtId="44" fontId="2" fillId="4" borderId="34" xfId="0" applyNumberFormat="1" applyFont="1" applyFill="1" applyBorder="1" applyAlignment="1">
      <alignment horizontal="center" vertical="center"/>
    </xf>
    <xf numFmtId="44" fontId="2" fillId="5" borderId="26" xfId="2" applyFont="1" applyFill="1" applyBorder="1" applyAlignment="1">
      <alignment horizontal="center" vertical="center"/>
    </xf>
    <xf numFmtId="44" fontId="2" fillId="0" borderId="59" xfId="2" applyFont="1" applyFill="1" applyBorder="1" applyAlignment="1" applyProtection="1">
      <alignment horizontal="center" vertical="center"/>
      <protection locked="0"/>
    </xf>
    <xf numFmtId="44" fontId="2" fillId="0" borderId="61" xfId="2" applyFont="1" applyFill="1" applyBorder="1" applyAlignment="1" applyProtection="1">
      <alignment horizontal="center" vertical="center"/>
      <protection locked="0"/>
    </xf>
    <xf numFmtId="165" fontId="2" fillId="16" borderId="77" xfId="2" applyNumberFormat="1" applyFont="1" applyFill="1" applyBorder="1" applyAlignment="1">
      <alignment horizontal="center" vertical="center"/>
    </xf>
    <xf numFmtId="165" fontId="2" fillId="16" borderId="75" xfId="2" applyNumberFormat="1" applyFont="1" applyFill="1" applyBorder="1" applyAlignment="1">
      <alignment horizontal="center" vertical="center"/>
    </xf>
    <xf numFmtId="165" fontId="2" fillId="16" borderId="76" xfId="2" applyNumberFormat="1" applyFont="1" applyFill="1" applyBorder="1" applyAlignment="1">
      <alignment horizontal="center" vertical="center"/>
    </xf>
    <xf numFmtId="164" fontId="4" fillId="18" borderId="24" xfId="0" applyNumberFormat="1" applyFont="1" applyFill="1" applyBorder="1" applyAlignment="1">
      <alignment horizontal="center"/>
    </xf>
    <xf numFmtId="0" fontId="36" fillId="20" borderId="0" xfId="3" applyFont="1" applyBorder="1" applyAlignment="1">
      <alignment horizontal="center" vertical="center" wrapText="1"/>
    </xf>
    <xf numFmtId="0" fontId="37" fillId="11" borderId="19" xfId="0" applyFont="1" applyFill="1" applyBorder="1" applyAlignment="1">
      <alignment horizontal="center" vertical="center" wrapText="1"/>
    </xf>
    <xf numFmtId="0" fontId="38" fillId="0" borderId="0" xfId="0" applyFont="1"/>
    <xf numFmtId="0" fontId="36" fillId="20" borderId="19" xfId="3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wrapText="1"/>
    </xf>
    <xf numFmtId="164" fontId="35" fillId="20" borderId="78" xfId="3" applyNumberFormat="1" applyBorder="1" applyAlignment="1">
      <alignment horizontal="center"/>
    </xf>
    <xf numFmtId="164" fontId="35" fillId="20" borderId="54" xfId="3" applyNumberForma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64" fontId="30" fillId="18" borderId="62" xfId="0" applyNumberFormat="1" applyFont="1" applyFill="1" applyBorder="1" applyAlignment="1">
      <alignment horizontal="center"/>
    </xf>
    <xf numFmtId="0" fontId="22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3" fillId="0" borderId="56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 applyProtection="1">
      <alignment horizontal="left" vertical="center"/>
      <protection locked="0"/>
    </xf>
    <xf numFmtId="0" fontId="23" fillId="0" borderId="61" xfId="0" applyFont="1" applyBorder="1" applyAlignment="1" applyProtection="1">
      <alignment horizontal="left" vertical="center"/>
      <protection locked="0"/>
    </xf>
    <xf numFmtId="0" fontId="24" fillId="10" borderId="32" xfId="0" applyFont="1" applyFill="1" applyBorder="1" applyAlignment="1">
      <alignment horizontal="center" vertical="center"/>
    </xf>
    <xf numFmtId="0" fontId="24" fillId="10" borderId="59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83" xfId="0" applyFont="1" applyBorder="1" applyAlignment="1" applyProtection="1">
      <alignment horizontal="center" vertical="center" wrapText="1"/>
      <protection locked="0"/>
    </xf>
    <xf numFmtId="0" fontId="22" fillId="15" borderId="32" xfId="0" applyFont="1" applyFill="1" applyBorder="1" applyAlignment="1">
      <alignment horizontal="center" vertical="center" wrapText="1"/>
    </xf>
    <xf numFmtId="0" fontId="22" fillId="15" borderId="59" xfId="0" applyFont="1" applyFill="1" applyBorder="1" applyAlignment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vertical="center" wrapText="1"/>
    </xf>
    <xf numFmtId="0" fontId="3" fillId="17" borderId="45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/>
    </xf>
    <xf numFmtId="0" fontId="15" fillId="9" borderId="59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 wrapText="1"/>
    </xf>
    <xf numFmtId="0" fontId="18" fillId="6" borderId="52" xfId="0" applyFont="1" applyFill="1" applyBorder="1" applyAlignment="1">
      <alignment horizontal="center" vertical="center" wrapText="1"/>
    </xf>
    <xf numFmtId="0" fontId="18" fillId="6" borderId="47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8" fillId="10" borderId="121" xfId="0" applyFont="1" applyFill="1" applyBorder="1" applyAlignment="1">
      <alignment horizontal="center" vertical="center" wrapText="1"/>
    </xf>
    <xf numFmtId="0" fontId="18" fillId="10" borderId="52" xfId="0" applyFont="1" applyFill="1" applyBorder="1" applyAlignment="1">
      <alignment horizontal="center" vertical="center" wrapText="1"/>
    </xf>
    <xf numFmtId="0" fontId="14" fillId="16" borderId="51" xfId="0" applyFont="1" applyFill="1" applyBorder="1" applyAlignment="1">
      <alignment horizontal="center" vertical="center"/>
    </xf>
    <xf numFmtId="0" fontId="14" fillId="16" borderId="48" xfId="0" applyFont="1" applyFill="1" applyBorder="1" applyAlignment="1">
      <alignment horizontal="center" vertical="center"/>
    </xf>
    <xf numFmtId="0" fontId="14" fillId="16" borderId="49" xfId="0" applyFont="1" applyFill="1" applyBorder="1" applyAlignment="1">
      <alignment horizontal="center" vertical="center"/>
    </xf>
    <xf numFmtId="0" fontId="14" fillId="14" borderId="38" xfId="0" applyFont="1" applyFill="1" applyBorder="1" applyAlignment="1">
      <alignment horizontal="center" vertical="center"/>
    </xf>
    <xf numFmtId="0" fontId="14" fillId="14" borderId="62" xfId="0" applyFont="1" applyFill="1" applyBorder="1" applyAlignment="1">
      <alignment horizontal="center" vertical="center"/>
    </xf>
    <xf numFmtId="0" fontId="14" fillId="14" borderId="63" xfId="0" applyFont="1" applyFill="1" applyBorder="1" applyAlignment="1">
      <alignment horizontal="center" vertical="center"/>
    </xf>
    <xf numFmtId="0" fontId="15" fillId="14" borderId="32" xfId="0" applyFont="1" applyFill="1" applyBorder="1" applyAlignment="1">
      <alignment horizontal="center" vertical="center"/>
    </xf>
    <xf numFmtId="0" fontId="15" fillId="14" borderId="59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0" fontId="18" fillId="10" borderId="45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 wrapText="1"/>
    </xf>
    <xf numFmtId="0" fontId="26" fillId="5" borderId="78" xfId="0" applyFont="1" applyFill="1" applyBorder="1" applyAlignment="1">
      <alignment horizontal="center" vertical="center" wrapText="1"/>
    </xf>
    <xf numFmtId="0" fontId="27" fillId="12" borderId="45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8" fillId="11" borderId="97" xfId="0" applyFont="1" applyFill="1" applyBorder="1" applyAlignment="1">
      <alignment horizontal="center" vertical="center" wrapText="1"/>
    </xf>
    <xf numFmtId="0" fontId="28" fillId="11" borderId="62" xfId="0" applyFont="1" applyFill="1" applyBorder="1" applyAlignment="1">
      <alignment horizontal="center" vertical="center" wrapText="1"/>
    </xf>
    <xf numFmtId="0" fontId="40" fillId="16" borderId="28" xfId="0" applyFont="1" applyFill="1" applyBorder="1" applyAlignment="1">
      <alignment horizontal="center" vertical="center" wrapText="1"/>
    </xf>
    <xf numFmtId="0" fontId="40" fillId="16" borderId="37" xfId="0" applyFont="1" applyFill="1" applyBorder="1" applyAlignment="1">
      <alignment horizontal="center" vertical="center" wrapText="1"/>
    </xf>
    <xf numFmtId="0" fontId="40" fillId="16" borderId="75" xfId="0" applyFont="1" applyFill="1" applyBorder="1" applyAlignment="1">
      <alignment horizontal="center" vertical="center" wrapText="1"/>
    </xf>
    <xf numFmtId="0" fontId="32" fillId="17" borderId="109" xfId="0" applyFont="1" applyFill="1" applyBorder="1" applyAlignment="1">
      <alignment horizontal="center"/>
    </xf>
    <xf numFmtId="0" fontId="32" fillId="17" borderId="110" xfId="0" applyFont="1" applyFill="1" applyBorder="1" applyAlignment="1">
      <alignment horizontal="center"/>
    </xf>
    <xf numFmtId="0" fontId="33" fillId="10" borderId="110" xfId="0" applyFont="1" applyFill="1" applyBorder="1"/>
    <xf numFmtId="0" fontId="33" fillId="10" borderId="72" xfId="0" applyFont="1" applyFill="1" applyBorder="1"/>
    <xf numFmtId="0" fontId="33" fillId="10" borderId="124" xfId="0" applyFont="1" applyFill="1" applyBorder="1"/>
    <xf numFmtId="0" fontId="33" fillId="10" borderId="111" xfId="0" applyFont="1" applyFill="1" applyBorder="1"/>
    <xf numFmtId="0" fontId="27" fillId="13" borderId="108" xfId="0" applyFont="1" applyFill="1" applyBorder="1" applyAlignment="1">
      <alignment horizontal="center" vertical="center" wrapText="1"/>
    </xf>
    <xf numFmtId="0" fontId="27" fillId="13" borderId="112" xfId="0" applyFont="1" applyFill="1" applyBorder="1" applyAlignment="1">
      <alignment horizontal="center" vertical="center" wrapText="1"/>
    </xf>
    <xf numFmtId="0" fontId="27" fillId="13" borderId="105" xfId="0" applyFont="1" applyFill="1" applyBorder="1" applyAlignment="1">
      <alignment horizontal="center" vertical="center" wrapText="1"/>
    </xf>
    <xf numFmtId="0" fontId="27" fillId="11" borderId="53" xfId="0" applyFont="1" applyFill="1" applyBorder="1" applyAlignment="1">
      <alignment horizontal="center" vertical="center" wrapText="1"/>
    </xf>
    <xf numFmtId="0" fontId="27" fillId="11" borderId="77" xfId="0" applyFont="1" applyFill="1" applyBorder="1" applyAlignment="1">
      <alignment horizontal="center" vertical="center" wrapText="1"/>
    </xf>
    <xf numFmtId="0" fontId="27" fillId="11" borderId="122" xfId="0" applyFont="1" applyFill="1" applyBorder="1" applyAlignment="1">
      <alignment horizontal="center" vertical="center" wrapText="1"/>
    </xf>
    <xf numFmtId="0" fontId="27" fillId="11" borderId="123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28" fillId="11" borderId="97" xfId="0" applyFont="1" applyFill="1" applyBorder="1" applyAlignment="1">
      <alignment horizontal="center" vertical="center"/>
    </xf>
    <xf numFmtId="0" fontId="28" fillId="11" borderId="62" xfId="0" applyFont="1" applyFill="1" applyBorder="1" applyAlignment="1">
      <alignment horizontal="center" vertical="center"/>
    </xf>
  </cellXfs>
  <cellStyles count="4">
    <cellStyle name="Neutrale" xfId="3" builtinId="28"/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75349</xdr:colOff>
      <xdr:row>3</xdr:row>
      <xdr:rowOff>168275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44D90CA6-5C94-3445-8978-0C9D34FF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392849</xdr:colOff>
      <xdr:row>2</xdr:row>
      <xdr:rowOff>206375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468F3FA-C571-6843-8254-7D62B421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896742-6037-A84C-9C49-BF786733D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5:H15"/>
  <sheetViews>
    <sheetView showGridLines="0" workbookViewId="0">
      <selection activeCell="E15" sqref="E15:F15"/>
    </sheetView>
  </sheetViews>
  <sheetFormatPr defaultColWidth="8.7109375" defaultRowHeight="15" customHeight="1"/>
  <cols>
    <col min="1" max="1" width="13.42578125" style="99" customWidth="1"/>
    <col min="2" max="2" width="8.7109375" style="99"/>
    <col min="3" max="3" width="13.7109375" style="99" customWidth="1"/>
    <col min="4" max="4" width="22.140625" style="99" customWidth="1"/>
    <col min="5" max="5" width="11.42578125" style="99" customWidth="1"/>
    <col min="6" max="6" width="12.85546875" style="99" customWidth="1"/>
    <col min="7" max="16384" width="8.7109375" style="99"/>
  </cols>
  <sheetData>
    <row r="5" spans="1:8" ht="15" customHeight="1">
      <c r="A5" s="351" t="s">
        <v>0</v>
      </c>
      <c r="B5" s="352"/>
      <c r="C5" s="352"/>
      <c r="D5" s="352"/>
      <c r="E5" s="352"/>
      <c r="F5" s="352"/>
      <c r="G5" s="352"/>
      <c r="H5" s="353"/>
    </row>
    <row r="6" spans="1:8" s="107" customFormat="1">
      <c r="A6" s="345" t="s">
        <v>1</v>
      </c>
      <c r="B6" s="346"/>
      <c r="C6" s="347"/>
      <c r="D6" s="348" t="s">
        <v>2</v>
      </c>
      <c r="E6" s="349"/>
      <c r="F6" s="349"/>
      <c r="G6" s="349"/>
      <c r="H6" s="350"/>
    </row>
    <row r="7" spans="1:8" s="107" customFormat="1">
      <c r="A7" s="345" t="s">
        <v>3</v>
      </c>
      <c r="B7" s="346"/>
      <c r="C7" s="347"/>
      <c r="D7" s="348" t="s">
        <v>4</v>
      </c>
      <c r="E7" s="349"/>
      <c r="F7" s="349"/>
      <c r="G7" s="349"/>
      <c r="H7" s="350"/>
    </row>
    <row r="8" spans="1:8" s="107" customFormat="1">
      <c r="A8" s="345" t="s">
        <v>5</v>
      </c>
      <c r="B8" s="346"/>
      <c r="C8" s="347"/>
      <c r="D8" s="348" t="s">
        <v>6</v>
      </c>
      <c r="E8" s="349"/>
      <c r="F8" s="349"/>
      <c r="G8" s="349"/>
      <c r="H8" s="350"/>
    </row>
    <row r="11" spans="1:8">
      <c r="A11" s="356" t="s">
        <v>7</v>
      </c>
      <c r="B11" s="357"/>
      <c r="C11" s="357"/>
      <c r="D11" s="357"/>
      <c r="E11" s="357"/>
      <c r="F11" s="358"/>
    </row>
    <row r="12" spans="1:8" ht="30">
      <c r="A12" s="100" t="s">
        <v>8</v>
      </c>
      <c r="B12" s="101" t="s">
        <v>9</v>
      </c>
      <c r="C12" s="101" t="s">
        <v>10</v>
      </c>
      <c r="D12" s="108" t="s">
        <v>11</v>
      </c>
      <c r="E12" s="359" t="s">
        <v>12</v>
      </c>
      <c r="F12" s="360"/>
    </row>
    <row r="13" spans="1:8" ht="16.350000000000001" customHeight="1">
      <c r="A13" s="102" t="s">
        <v>13</v>
      </c>
      <c r="B13" s="103"/>
      <c r="C13" s="103"/>
      <c r="D13" s="103" t="s">
        <v>14</v>
      </c>
      <c r="E13" s="354"/>
      <c r="F13" s="355"/>
    </row>
    <row r="14" spans="1:8" ht="16.350000000000001" customHeight="1">
      <c r="A14" s="102" t="s">
        <v>15</v>
      </c>
      <c r="B14" s="103"/>
      <c r="C14" s="103"/>
      <c r="D14" s="103" t="s">
        <v>16</v>
      </c>
      <c r="E14" s="354"/>
      <c r="F14" s="355"/>
    </row>
    <row r="15" spans="1:8" ht="16.350000000000001" customHeight="1">
      <c r="A15" s="102" t="s">
        <v>17</v>
      </c>
      <c r="B15" s="103"/>
      <c r="C15" s="103"/>
      <c r="D15" s="103" t="s">
        <v>18</v>
      </c>
      <c r="E15" s="354"/>
      <c r="F15" s="355"/>
    </row>
  </sheetData>
  <mergeCells count="12">
    <mergeCell ref="E13:F13"/>
    <mergeCell ref="A11:F11"/>
    <mergeCell ref="E14:F14"/>
    <mergeCell ref="E15:F15"/>
    <mergeCell ref="E12:F12"/>
    <mergeCell ref="A8:C8"/>
    <mergeCell ref="D8:H8"/>
    <mergeCell ref="A5:H5"/>
    <mergeCell ref="A6:C6"/>
    <mergeCell ref="D6:H6"/>
    <mergeCell ref="A7:C7"/>
    <mergeCell ref="D7:H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AC20"/>
  <sheetViews>
    <sheetView topLeftCell="K1" zoomScale="106" zoomScaleNormal="106" workbookViewId="0">
      <selection activeCell="Z8" sqref="Z8"/>
    </sheetView>
  </sheetViews>
  <sheetFormatPr defaultColWidth="8.85546875" defaultRowHeight="15"/>
  <cols>
    <col min="1" max="1" width="6.140625" style="98" customWidth="1"/>
    <col min="2" max="2" width="26" style="98" customWidth="1"/>
    <col min="3" max="3" width="11.140625" style="98" customWidth="1"/>
    <col min="4" max="4" width="10.7109375" style="98" bestFit="1" customWidth="1"/>
    <col min="5" max="5" width="8.85546875" style="98"/>
    <col min="6" max="6" width="12.42578125" style="98" bestFit="1" customWidth="1"/>
    <col min="7" max="7" width="15.7109375" style="98" customWidth="1"/>
    <col min="8" max="8" width="14.42578125" style="98" customWidth="1"/>
    <col min="9" max="9" width="12.28515625" style="98" customWidth="1"/>
    <col min="10" max="12" width="15" style="98" customWidth="1"/>
    <col min="13" max="13" width="12.140625" style="98" customWidth="1"/>
    <col min="14" max="15" width="11.28515625" style="98" customWidth="1"/>
    <col min="16" max="18" width="11.140625" style="98" customWidth="1"/>
    <col min="19" max="21" width="15.7109375" style="98" customWidth="1"/>
    <col min="22" max="22" width="10.140625" style="98" customWidth="1"/>
    <col min="23" max="23" width="15.7109375" style="98" customWidth="1"/>
    <col min="24" max="25" width="8.85546875" style="98"/>
    <col min="26" max="26" width="13.140625" style="98" customWidth="1"/>
    <col min="27" max="27" width="10" style="98" bestFit="1" customWidth="1"/>
    <col min="28" max="28" width="17.28515625" style="98" customWidth="1"/>
    <col min="29" max="16384" width="8.85546875" style="98"/>
  </cols>
  <sheetData>
    <row r="4" spans="1:29" ht="15.75" thickBot="1"/>
    <row r="5" spans="1:29" ht="19.5" thickBot="1">
      <c r="A5" s="398" t="s">
        <v>130</v>
      </c>
      <c r="B5" s="398"/>
      <c r="C5" s="399"/>
      <c r="D5" s="401" t="s">
        <v>95</v>
      </c>
      <c r="E5" s="402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4"/>
      <c r="U5" s="404"/>
      <c r="V5" s="404"/>
      <c r="W5" s="404"/>
      <c r="X5" s="403"/>
      <c r="Y5" s="403"/>
      <c r="Z5" s="405"/>
      <c r="AA5" s="405"/>
      <c r="AB5" s="406"/>
      <c r="AC5" s="179"/>
    </row>
    <row r="6" spans="1:29" ht="50.45" customHeight="1" thickTop="1" thickBot="1">
      <c r="A6" s="398"/>
      <c r="B6" s="398"/>
      <c r="C6" s="400"/>
      <c r="D6" s="407" t="s">
        <v>96</v>
      </c>
      <c r="E6" s="408"/>
      <c r="F6" s="409"/>
      <c r="G6" s="338" t="s">
        <v>126</v>
      </c>
      <c r="H6" s="410" t="s">
        <v>104</v>
      </c>
      <c r="I6" s="411"/>
      <c r="J6" s="412" t="s">
        <v>105</v>
      </c>
      <c r="K6" s="413"/>
      <c r="L6" s="335" t="s">
        <v>125</v>
      </c>
      <c r="M6" s="414" t="s">
        <v>60</v>
      </c>
      <c r="N6" s="411"/>
      <c r="O6" s="414" t="s">
        <v>106</v>
      </c>
      <c r="P6" s="411"/>
      <c r="Q6" s="396" t="s">
        <v>119</v>
      </c>
      <c r="R6" s="396" t="s">
        <v>120</v>
      </c>
      <c r="S6" s="415" t="s">
        <v>97</v>
      </c>
      <c r="T6" s="338" t="s">
        <v>128</v>
      </c>
      <c r="U6" s="338" t="s">
        <v>127</v>
      </c>
      <c r="V6" s="342" t="s">
        <v>129</v>
      </c>
      <c r="W6" s="338" t="s">
        <v>127</v>
      </c>
      <c r="X6" s="410" t="s">
        <v>98</v>
      </c>
      <c r="Y6" s="411"/>
      <c r="Z6" s="410" t="s">
        <v>118</v>
      </c>
      <c r="AA6" s="411"/>
      <c r="AB6" s="396" t="s">
        <v>93</v>
      </c>
    </row>
    <row r="7" spans="1:29" ht="30" customHeight="1" thickBot="1">
      <c r="A7" s="115"/>
      <c r="B7" s="116" t="s">
        <v>8</v>
      </c>
      <c r="C7" s="123" t="s">
        <v>99</v>
      </c>
      <c r="D7" s="132" t="s">
        <v>37</v>
      </c>
      <c r="E7" s="120" t="s">
        <v>39</v>
      </c>
      <c r="F7" s="125" t="s">
        <v>100</v>
      </c>
      <c r="G7" s="336" t="s">
        <v>122</v>
      </c>
      <c r="H7" s="121" t="s">
        <v>37</v>
      </c>
      <c r="I7" s="126" t="s">
        <v>39</v>
      </c>
      <c r="J7" s="238" t="s">
        <v>37</v>
      </c>
      <c r="K7" s="246" t="s">
        <v>39</v>
      </c>
      <c r="L7" s="336" t="s">
        <v>121</v>
      </c>
      <c r="M7" s="121" t="s">
        <v>37</v>
      </c>
      <c r="N7" s="126" t="s">
        <v>39</v>
      </c>
      <c r="O7" s="121" t="s">
        <v>37</v>
      </c>
      <c r="P7" s="126" t="s">
        <v>39</v>
      </c>
      <c r="Q7" s="397"/>
      <c r="R7" s="397"/>
      <c r="S7" s="416"/>
      <c r="T7" s="336" t="s">
        <v>122</v>
      </c>
      <c r="U7" s="336" t="s">
        <v>132</v>
      </c>
      <c r="V7" s="336"/>
      <c r="W7" s="336" t="s">
        <v>133</v>
      </c>
      <c r="X7" s="129" t="s">
        <v>37</v>
      </c>
      <c r="Y7" s="130" t="s">
        <v>39</v>
      </c>
      <c r="Z7" s="129" t="s">
        <v>37</v>
      </c>
      <c r="AA7" s="130" t="s">
        <v>39</v>
      </c>
      <c r="AB7" s="397"/>
    </row>
    <row r="8" spans="1:29" ht="17.100000000000001" customHeight="1">
      <c r="A8" s="117">
        <v>1</v>
      </c>
      <c r="B8" s="118" t="s">
        <v>54</v>
      </c>
      <c r="C8" s="124" t="s">
        <v>101</v>
      </c>
      <c r="D8" s="122"/>
      <c r="E8" s="119"/>
      <c r="F8" s="176">
        <f>SUM(D8:E8)</f>
        <v>0</v>
      </c>
      <c r="G8" s="340" t="str">
        <f>IF(F8&gt;S8*0.7, "ERRORE", "OK")</f>
        <v>OK</v>
      </c>
      <c r="H8" s="177">
        <f t="shared" ref="H8:I10" si="0">15%*D8</f>
        <v>0</v>
      </c>
      <c r="I8" s="176">
        <f t="shared" si="0"/>
        <v>0</v>
      </c>
      <c r="J8" s="122"/>
      <c r="K8" s="239"/>
      <c r="L8" s="341" t="str">
        <f>IF(J8+K8&gt;0.1*F8,"ERRORE","OK")</f>
        <v>OK</v>
      </c>
      <c r="M8" s="122"/>
      <c r="N8" s="127"/>
      <c r="O8" s="122"/>
      <c r="P8" s="127"/>
      <c r="Q8" s="239"/>
      <c r="R8" s="239"/>
      <c r="S8" s="178">
        <f>Q8+R8</f>
        <v>0</v>
      </c>
      <c r="T8" s="340"/>
      <c r="U8" s="340" t="str">
        <f>IF(S8&lt;S11*0.3, "ERRORE", "OK")</f>
        <v>OK</v>
      </c>
      <c r="V8" s="343" t="e">
        <f>S8/S11</f>
        <v>#DIV/0!</v>
      </c>
      <c r="W8" s="340" t="str">
        <f>IF(S8&gt;S11*0.7, "ERRORE", "OK")</f>
        <v>OK</v>
      </c>
      <c r="X8" s="128">
        <v>0.5</v>
      </c>
      <c r="Y8" s="131">
        <v>0.25</v>
      </c>
      <c r="Z8" s="239">
        <f t="shared" ref="Z8:AA10" si="1">X8*Q8</f>
        <v>0</v>
      </c>
      <c r="AA8" s="239">
        <f t="shared" si="1"/>
        <v>0</v>
      </c>
      <c r="AB8" s="178">
        <f>Z8+AA8</f>
        <v>0</v>
      </c>
    </row>
    <row r="9" spans="1:29" ht="17.100000000000001" customHeight="1">
      <c r="A9" s="117">
        <v>2</v>
      </c>
      <c r="B9" s="118" t="s">
        <v>35</v>
      </c>
      <c r="C9" s="124" t="s">
        <v>102</v>
      </c>
      <c r="D9" s="122"/>
      <c r="E9" s="119"/>
      <c r="F9" s="176">
        <f t="shared" ref="F9:F10" si="2">SUM(D9:E9)</f>
        <v>0</v>
      </c>
      <c r="G9" s="340" t="str">
        <f t="shared" ref="G9:G10" si="3">IF(F9&gt;S9*0.7, "ERRORE", "OK")</f>
        <v>OK</v>
      </c>
      <c r="H9" s="177">
        <f t="shared" si="0"/>
        <v>0</v>
      </c>
      <c r="I9" s="176">
        <f t="shared" si="0"/>
        <v>0</v>
      </c>
      <c r="J9" s="247"/>
      <c r="K9" s="239"/>
      <c r="L9" s="341" t="str">
        <f t="shared" ref="L9:L10" si="4">IF(J9+K9&gt;0.1*F9,"ERRORE","OK")</f>
        <v>OK</v>
      </c>
      <c r="M9" s="122"/>
      <c r="N9" s="127"/>
      <c r="O9" s="122"/>
      <c r="P9" s="127"/>
      <c r="Q9" s="239"/>
      <c r="R9" s="239"/>
      <c r="S9" s="344">
        <f t="shared" ref="S9:S10" si="5">Q9+R9</f>
        <v>0</v>
      </c>
      <c r="T9" s="340"/>
      <c r="U9" s="340" t="str">
        <f>IF(S9&lt;S11*0.3, "ERRORE", "OK")</f>
        <v>OK</v>
      </c>
      <c r="V9" s="343" t="e">
        <f>S9/S11</f>
        <v>#DIV/0!</v>
      </c>
      <c r="W9" s="340" t="str">
        <f>IF(S9&gt;S11*0.7, "ERRORE", "OK")</f>
        <v>OK</v>
      </c>
      <c r="X9" s="128">
        <v>0.6</v>
      </c>
      <c r="Y9" s="131">
        <v>0.6</v>
      </c>
      <c r="Z9" s="239">
        <f t="shared" si="1"/>
        <v>0</v>
      </c>
      <c r="AA9" s="239">
        <f t="shared" si="1"/>
        <v>0</v>
      </c>
      <c r="AB9" s="178">
        <f t="shared" ref="AB9:AB10" si="6">Z9+AA9</f>
        <v>0</v>
      </c>
    </row>
    <row r="10" spans="1:29" ht="17.100000000000001" customHeight="1" thickBot="1">
      <c r="A10" s="117">
        <v>3</v>
      </c>
      <c r="B10" s="118" t="s">
        <v>55</v>
      </c>
      <c r="C10" s="124" t="s">
        <v>103</v>
      </c>
      <c r="D10" s="122"/>
      <c r="E10" s="119"/>
      <c r="F10" s="176">
        <f t="shared" si="2"/>
        <v>0</v>
      </c>
      <c r="G10" s="340" t="str">
        <f t="shared" si="3"/>
        <v>OK</v>
      </c>
      <c r="H10" s="177">
        <f t="shared" si="0"/>
        <v>0</v>
      </c>
      <c r="I10" s="176">
        <f t="shared" si="0"/>
        <v>0</v>
      </c>
      <c r="J10" s="247"/>
      <c r="K10" s="239"/>
      <c r="L10" s="341" t="str">
        <f t="shared" si="4"/>
        <v>OK</v>
      </c>
      <c r="M10" s="122"/>
      <c r="N10" s="127"/>
      <c r="O10" s="122"/>
      <c r="P10" s="127"/>
      <c r="Q10" s="239"/>
      <c r="R10" s="239"/>
      <c r="S10" s="344">
        <f t="shared" si="5"/>
        <v>0</v>
      </c>
      <c r="T10" s="340"/>
      <c r="U10" s="340" t="str">
        <f>IF(S10&lt;S11*0.3, "ERRORE", "OK")</f>
        <v>OK</v>
      </c>
      <c r="V10" s="343" t="e">
        <f>S10/S11</f>
        <v>#DIV/0!</v>
      </c>
      <c r="W10" s="340" t="str">
        <f>IF(S10&gt;S11*0.7, "ERRORE", "OK")</f>
        <v>OK</v>
      </c>
      <c r="X10" s="128">
        <v>0.7</v>
      </c>
      <c r="Y10" s="131">
        <v>0.6</v>
      </c>
      <c r="Z10" s="239">
        <f t="shared" si="1"/>
        <v>0</v>
      </c>
      <c r="AA10" s="239">
        <f t="shared" si="1"/>
        <v>0</v>
      </c>
      <c r="AB10" s="178">
        <f t="shared" si="6"/>
        <v>0</v>
      </c>
    </row>
    <row r="11" spans="1:29" ht="16.350000000000001" customHeight="1" thickBot="1">
      <c r="D11" s="240"/>
      <c r="E11" s="241"/>
      <c r="F11" s="242">
        <f>SUM(F8:F10)</f>
        <v>0</v>
      </c>
      <c r="H11" s="243">
        <f>SUM(H8:H10)</f>
        <v>0</v>
      </c>
      <c r="I11" s="242">
        <f>SUM(I8:I10)</f>
        <v>0</v>
      </c>
      <c r="J11" s="248">
        <f>SUM(J8:J10)</f>
        <v>0</v>
      </c>
      <c r="K11" s="242"/>
      <c r="L11"/>
      <c r="M11" s="243"/>
      <c r="N11" s="242"/>
      <c r="O11" s="243"/>
      <c r="P11" s="242"/>
      <c r="Q11" s="334"/>
      <c r="R11" s="334"/>
      <c r="S11" s="244">
        <f>SUM(S8:S10)</f>
        <v>0</v>
      </c>
      <c r="T11" s="340" t="str">
        <f>IF(S11&gt;250000, "ERRORE", "OK")</f>
        <v>OK</v>
      </c>
      <c r="V11"/>
      <c r="X11" s="199"/>
      <c r="Y11" s="199"/>
      <c r="Z11" s="199"/>
      <c r="AA11" s="199"/>
      <c r="AB11" s="245">
        <f>SUM(AB8:AB10)</f>
        <v>0</v>
      </c>
    </row>
    <row r="14" spans="1:29" ht="16.5" thickBot="1">
      <c r="B14" s="335" t="s">
        <v>123</v>
      </c>
      <c r="U14" s="337"/>
      <c r="W14" s="337"/>
    </row>
    <row r="15" spans="1:29" ht="20.25" thickBot="1">
      <c r="B15" s="339" t="s">
        <v>124</v>
      </c>
    </row>
    <row r="20" spans="2:2">
      <c r="B20" s="337"/>
    </row>
  </sheetData>
  <mergeCells count="13">
    <mergeCell ref="AB6:AB7"/>
    <mergeCell ref="A5:C6"/>
    <mergeCell ref="D5:AB5"/>
    <mergeCell ref="D6:F6"/>
    <mergeCell ref="H6:I6"/>
    <mergeCell ref="J6:K6"/>
    <mergeCell ref="M6:N6"/>
    <mergeCell ref="O6:P6"/>
    <mergeCell ref="S6:S7"/>
    <mergeCell ref="X6:Y6"/>
    <mergeCell ref="R6:R7"/>
    <mergeCell ref="Q6:Q7"/>
    <mergeCell ref="Z6:AA6"/>
  </mergeCells>
  <dataValidations count="7">
    <dataValidation type="list" allowBlank="1" showInputMessage="1" showErrorMessage="1" sqref="Y10" xr:uid="{1439E557-FFEB-457A-AE9C-22A12CB95E9C}">
      <mc:AlternateContent xmlns:x12ac="http://schemas.microsoft.com/office/spreadsheetml/2011/1/ac" xmlns:mc="http://schemas.openxmlformats.org/markup-compatibility/2006">
        <mc:Choice Requires="x12ac">
          <x12ac:list xml:space="preserve">"0,45"," 0,60", </x12ac:list>
        </mc:Choice>
        <mc:Fallback>
          <formula1>"0,45, 0,60, "</formula1>
        </mc:Fallback>
      </mc:AlternateContent>
    </dataValidation>
    <dataValidation type="list" allowBlank="1" showInputMessage="1" showErrorMessage="1" sqref="X10" xr:uid="{C427F39C-9F1A-485F-8153-8002AEF8C0E7}">
      <mc:AlternateContent xmlns:x12ac="http://schemas.microsoft.com/office/spreadsheetml/2011/1/ac" xmlns:mc="http://schemas.openxmlformats.org/markup-compatibility/2006">
        <mc:Choice Requires="x12ac">
          <x12ac:list>"0,70"," 0,80"</x12ac:list>
        </mc:Choice>
        <mc:Fallback>
          <formula1>"0,70, 0,80"</formula1>
        </mc:Fallback>
      </mc:AlternateContent>
    </dataValidation>
    <dataValidation type="list" allowBlank="1" showInputMessage="1" showErrorMessage="1" sqref="C8:C10" xr:uid="{06DC6799-296B-453F-95F4-7326DDFFF49C}">
      <formula1>"Grande, Media, Piccola"</formula1>
    </dataValidation>
    <dataValidation type="list" allowBlank="1" showInputMessage="1" showErrorMessage="1" sqref="X8" xr:uid="{60E98292-4CB3-4DB9-B5A3-BFD4EAD091D0}">
      <mc:AlternateContent xmlns:x12ac="http://schemas.microsoft.com/office/spreadsheetml/2011/1/ac" xmlns:mc="http://schemas.openxmlformats.org/markup-compatibility/2006">
        <mc:Choice Requires="x12ac">
          <x12ac:list>"0,50"," 0,65"</x12ac:list>
        </mc:Choice>
        <mc:Fallback>
          <formula1>"0,50, 0,65"</formula1>
        </mc:Fallback>
      </mc:AlternateContent>
    </dataValidation>
    <dataValidation type="list" allowBlank="1" showInputMessage="1" showErrorMessage="1" sqref="X9" xr:uid="{3E1AF444-BD59-41A0-B7CB-340DA3407850}">
      <mc:AlternateContent xmlns:x12ac="http://schemas.microsoft.com/office/spreadsheetml/2011/1/ac" xmlns:mc="http://schemas.openxmlformats.org/markup-compatibility/2006">
        <mc:Choice Requires="x12ac">
          <x12ac:list>"0,60"," 0,75",</x12ac:list>
        </mc:Choice>
        <mc:Fallback>
          <formula1>"0,60, 0,75,"</formula1>
        </mc:Fallback>
      </mc:AlternateContent>
    </dataValidation>
    <dataValidation type="list" allowBlank="1" showInputMessage="1" showErrorMessage="1" sqref="Y8" xr:uid="{8B7793C5-F660-4D4A-AA0E-8F36526ACB32}">
      <mc:AlternateContent xmlns:x12ac="http://schemas.microsoft.com/office/spreadsheetml/2011/1/ac" xmlns:mc="http://schemas.openxmlformats.org/markup-compatibility/2006">
        <mc:Choice Requires="x12ac">
          <x12ac:list>"0,25"," 0,40"</x12ac:list>
        </mc:Choice>
        <mc:Fallback>
          <formula1>"0,25, 0,40"</formula1>
        </mc:Fallback>
      </mc:AlternateContent>
    </dataValidation>
    <dataValidation type="list" allowBlank="1" showInputMessage="1" showErrorMessage="1" sqref="Y9" xr:uid="{0AF31675-A465-46DE-A6C9-1EB2F19A11CF}">
      <mc:AlternateContent xmlns:x12ac="http://schemas.microsoft.com/office/spreadsheetml/2011/1/ac" xmlns:mc="http://schemas.openxmlformats.org/markup-compatibility/2006">
        <mc:Choice Requires="x12ac">
          <x12ac:list xml:space="preserve">"0,35"," 0,50", </x12ac:list>
        </mc:Choice>
        <mc:Fallback>
          <formula1>"0,35, 0,50, 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12" sqref="B12"/>
    </sheetView>
  </sheetViews>
  <sheetFormatPr defaultColWidth="8.85546875" defaultRowHeight="21" customHeight="1"/>
  <cols>
    <col min="1" max="1" width="8.85546875" style="97"/>
    <col min="2" max="2" width="126.42578125" customWidth="1"/>
  </cols>
  <sheetData>
    <row r="4" spans="1:2" ht="21" customHeight="1" thickBot="1">
      <c r="A4" s="250" t="s">
        <v>19</v>
      </c>
      <c r="B4" s="251" t="s">
        <v>20</v>
      </c>
    </row>
    <row r="5" spans="1:2" ht="167.1" customHeight="1" thickTop="1">
      <c r="A5" s="138" t="s">
        <v>21</v>
      </c>
      <c r="B5" s="316" t="s">
        <v>22</v>
      </c>
    </row>
    <row r="6" spans="1:2" ht="50.1" customHeight="1">
      <c r="A6" s="137" t="s">
        <v>23</v>
      </c>
      <c r="B6" s="317" t="s">
        <v>24</v>
      </c>
    </row>
    <row r="7" spans="1:2" ht="22.35" customHeight="1">
      <c r="A7" s="137" t="s">
        <v>25</v>
      </c>
      <c r="B7" s="317" t="s">
        <v>26</v>
      </c>
    </row>
    <row r="8" spans="1:2" ht="48.6" customHeight="1">
      <c r="A8" s="137" t="s">
        <v>27</v>
      </c>
      <c r="B8" s="317" t="s">
        <v>28</v>
      </c>
    </row>
    <row r="9" spans="1:2" ht="36.6" customHeight="1">
      <c r="A9" s="137" t="s">
        <v>29</v>
      </c>
      <c r="B9" s="317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Y982"/>
  <sheetViews>
    <sheetView showGridLines="0" zoomScale="136" zoomScaleNormal="80" workbookViewId="0">
      <pane ySplit="5" topLeftCell="A38" activePane="bottomLeft" state="frozen"/>
      <selection pane="bottomLeft" activeCell="E44" sqref="E44"/>
    </sheetView>
  </sheetViews>
  <sheetFormatPr defaultColWidth="14.42578125" defaultRowHeight="15.75"/>
  <cols>
    <col min="1" max="1" width="62" style="14" customWidth="1"/>
    <col min="2" max="3" width="8.42578125" style="14" customWidth="1"/>
    <col min="4" max="4" width="10.28515625" style="14" customWidth="1"/>
    <col min="5" max="13" width="8.42578125" style="14" customWidth="1"/>
    <col min="14" max="14" width="9.28515625" style="14" customWidth="1"/>
    <col min="15" max="17" width="14.42578125" style="14"/>
    <col min="18" max="26" width="7.28515625" style="14" customWidth="1"/>
    <col min="27" max="16384" width="14.42578125" style="14"/>
  </cols>
  <sheetData>
    <row r="3" spans="1:25" ht="16.5" thickBo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1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6.5" thickBot="1">
      <c r="A4" s="18" t="s">
        <v>131</v>
      </c>
      <c r="B4" s="18"/>
      <c r="C4" s="18"/>
      <c r="D4" s="18"/>
      <c r="E4" s="16">
        <v>1</v>
      </c>
      <c r="F4" s="16">
        <v>2</v>
      </c>
      <c r="G4" s="16">
        <v>3</v>
      </c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5" ht="117" customHeight="1" thickBot="1">
      <c r="A5" s="196" t="s">
        <v>113</v>
      </c>
      <c r="B5" s="16" t="s">
        <v>31</v>
      </c>
      <c r="C5" s="16" t="s">
        <v>32</v>
      </c>
      <c r="D5" s="16" t="s">
        <v>33</v>
      </c>
      <c r="E5" s="104" t="s">
        <v>34</v>
      </c>
      <c r="F5" s="17" t="s">
        <v>35</v>
      </c>
      <c r="G5" s="17" t="s">
        <v>117</v>
      </c>
      <c r="H5" s="19" t="s">
        <v>36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5" ht="16.5" thickBot="1">
      <c r="A6" s="303" t="s">
        <v>107</v>
      </c>
      <c r="B6" s="254">
        <v>1</v>
      </c>
      <c r="C6" s="255">
        <v>9</v>
      </c>
      <c r="D6" s="256" t="s">
        <v>37</v>
      </c>
      <c r="E6" s="180">
        <f t="shared" ref="E6:G6" si="0">SUM(E7:E11)</f>
        <v>15</v>
      </c>
      <c r="F6" s="181">
        <f t="shared" si="0"/>
        <v>1</v>
      </c>
      <c r="G6" s="181">
        <f t="shared" si="0"/>
        <v>4</v>
      </c>
      <c r="H6" s="182">
        <f t="shared" ref="H6:H35" si="1">SUM(E6:G6)</f>
        <v>20</v>
      </c>
      <c r="I6" s="7"/>
      <c r="J6" s="7"/>
      <c r="K6" s="7"/>
      <c r="L6" s="7"/>
      <c r="M6" s="7"/>
      <c r="N6" s="7"/>
      <c r="O6" s="7"/>
      <c r="P6" s="7"/>
      <c r="Q6" s="7"/>
    </row>
    <row r="7" spans="1:25" ht="20.100000000000001" customHeight="1">
      <c r="A7" s="304" t="s">
        <v>110</v>
      </c>
      <c r="B7" s="257">
        <v>1</v>
      </c>
      <c r="C7" s="258">
        <v>9</v>
      </c>
      <c r="D7" s="259" t="s">
        <v>37</v>
      </c>
      <c r="E7" s="285">
        <v>6</v>
      </c>
      <c r="F7" s="286">
        <v>1</v>
      </c>
      <c r="G7" s="286">
        <v>1</v>
      </c>
      <c r="H7" s="186">
        <f t="shared" si="1"/>
        <v>8</v>
      </c>
      <c r="I7" s="7"/>
      <c r="J7" s="7"/>
      <c r="K7" s="7"/>
      <c r="L7" s="7"/>
      <c r="M7" s="7"/>
      <c r="N7" s="7"/>
      <c r="O7" s="7"/>
      <c r="P7" s="7"/>
      <c r="Q7" s="7"/>
    </row>
    <row r="8" spans="1:25" ht="20.100000000000001" customHeight="1">
      <c r="A8" s="305" t="s">
        <v>111</v>
      </c>
      <c r="B8" s="261">
        <v>1</v>
      </c>
      <c r="C8" s="258">
        <v>9</v>
      </c>
      <c r="D8" s="262" t="s">
        <v>37</v>
      </c>
      <c r="E8" s="287">
        <v>6</v>
      </c>
      <c r="F8" s="288"/>
      <c r="G8" s="288">
        <v>3</v>
      </c>
      <c r="H8" s="186">
        <f t="shared" si="1"/>
        <v>9</v>
      </c>
      <c r="I8" s="7"/>
      <c r="J8"/>
      <c r="K8"/>
      <c r="L8"/>
      <c r="M8"/>
      <c r="N8"/>
      <c r="O8"/>
      <c r="P8"/>
      <c r="Q8"/>
      <c r="R8"/>
      <c r="S8"/>
      <c r="T8"/>
    </row>
    <row r="9" spans="1:25" ht="20.100000000000001" customHeight="1">
      <c r="A9" s="306" t="s">
        <v>112</v>
      </c>
      <c r="B9" s="261">
        <v>1</v>
      </c>
      <c r="C9" s="258">
        <v>9</v>
      </c>
      <c r="D9" s="260" t="s">
        <v>37</v>
      </c>
      <c r="E9" s="289">
        <v>3</v>
      </c>
      <c r="F9" s="288"/>
      <c r="G9" s="288"/>
      <c r="H9" s="186">
        <f t="shared" si="1"/>
        <v>3</v>
      </c>
      <c r="I9" s="7"/>
    </row>
    <row r="10" spans="1:25" ht="20.100000000000001" customHeight="1">
      <c r="A10" s="305"/>
      <c r="B10" s="261"/>
      <c r="C10" s="264"/>
      <c r="D10" s="263"/>
      <c r="E10" s="289"/>
      <c r="F10" s="288"/>
      <c r="G10" s="288"/>
      <c r="H10" s="186">
        <f t="shared" si="1"/>
        <v>0</v>
      </c>
      <c r="I10" s="7"/>
    </row>
    <row r="11" spans="1:25" ht="20.100000000000001" customHeight="1" thickBot="1">
      <c r="A11" s="305"/>
      <c r="B11" s="261"/>
      <c r="C11" s="264"/>
      <c r="D11" s="263"/>
      <c r="E11" s="289"/>
      <c r="F11" s="288"/>
      <c r="G11" s="288"/>
      <c r="H11" s="187">
        <f t="shared" si="1"/>
        <v>0</v>
      </c>
      <c r="I11" s="7"/>
    </row>
    <row r="12" spans="1:25" ht="20.100000000000001" customHeight="1" thickBot="1">
      <c r="A12" s="307" t="s">
        <v>108</v>
      </c>
      <c r="B12" s="265">
        <v>1</v>
      </c>
      <c r="C12" s="266">
        <v>6</v>
      </c>
      <c r="D12" s="267" t="s">
        <v>39</v>
      </c>
      <c r="E12" s="183">
        <f t="shared" ref="E12:G12" si="2">SUM(E13:E17)</f>
        <v>5</v>
      </c>
      <c r="F12" s="184">
        <f t="shared" si="2"/>
        <v>5</v>
      </c>
      <c r="G12" s="184">
        <f t="shared" si="2"/>
        <v>5</v>
      </c>
      <c r="H12" s="185">
        <f t="shared" si="1"/>
        <v>15</v>
      </c>
      <c r="I12" s="7"/>
    </row>
    <row r="13" spans="1:25" ht="20.100000000000001" customHeight="1">
      <c r="A13" s="308" t="s">
        <v>38</v>
      </c>
      <c r="B13" s="257">
        <v>1</v>
      </c>
      <c r="C13" s="258">
        <v>6</v>
      </c>
      <c r="D13" s="260" t="s">
        <v>39</v>
      </c>
      <c r="E13" s="290">
        <v>1</v>
      </c>
      <c r="F13" s="286">
        <v>1</v>
      </c>
      <c r="G13" s="286">
        <v>1</v>
      </c>
      <c r="H13" s="186">
        <f t="shared" si="1"/>
        <v>3</v>
      </c>
      <c r="I13" s="7"/>
    </row>
    <row r="14" spans="1:25" ht="20.100000000000001" customHeight="1">
      <c r="A14" s="309"/>
      <c r="B14" s="261">
        <v>1</v>
      </c>
      <c r="C14" s="264">
        <v>6</v>
      </c>
      <c r="D14" s="263" t="s">
        <v>39</v>
      </c>
      <c r="E14" s="289">
        <v>1</v>
      </c>
      <c r="F14" s="288">
        <v>1</v>
      </c>
      <c r="G14" s="288">
        <v>1</v>
      </c>
      <c r="H14" s="186">
        <f t="shared" si="1"/>
        <v>3</v>
      </c>
      <c r="I14" s="7"/>
    </row>
    <row r="15" spans="1:25" ht="20.100000000000001" customHeight="1">
      <c r="A15" s="309"/>
      <c r="B15" s="261">
        <v>1</v>
      </c>
      <c r="C15" s="264">
        <v>6</v>
      </c>
      <c r="D15" s="263" t="s">
        <v>39</v>
      </c>
      <c r="E15" s="289">
        <v>1</v>
      </c>
      <c r="F15" s="288">
        <v>1</v>
      </c>
      <c r="G15" s="288">
        <v>1</v>
      </c>
      <c r="H15" s="186">
        <f t="shared" si="1"/>
        <v>3</v>
      </c>
      <c r="I15" s="7"/>
    </row>
    <row r="16" spans="1:25" ht="20.100000000000001" customHeight="1">
      <c r="A16" s="309"/>
      <c r="B16" s="261">
        <v>1</v>
      </c>
      <c r="C16" s="264">
        <v>5</v>
      </c>
      <c r="D16" s="263" t="s">
        <v>39</v>
      </c>
      <c r="E16" s="289">
        <v>1</v>
      </c>
      <c r="F16" s="288">
        <v>1</v>
      </c>
      <c r="G16" s="288">
        <v>1</v>
      </c>
      <c r="H16" s="186">
        <f t="shared" si="1"/>
        <v>3</v>
      </c>
      <c r="I16" s="7"/>
    </row>
    <row r="17" spans="1:19" ht="20.100000000000001" customHeight="1" thickBot="1">
      <c r="A17" s="309"/>
      <c r="B17" s="261">
        <v>4</v>
      </c>
      <c r="C17" s="264">
        <v>6</v>
      </c>
      <c r="D17" s="268"/>
      <c r="E17" s="289">
        <v>1</v>
      </c>
      <c r="F17" s="288">
        <v>1</v>
      </c>
      <c r="G17" s="288">
        <v>1</v>
      </c>
      <c r="H17" s="186">
        <f t="shared" si="1"/>
        <v>3</v>
      </c>
      <c r="I17" s="7"/>
    </row>
    <row r="18" spans="1:19" ht="20.100000000000001" customHeight="1" thickBot="1">
      <c r="A18" s="310" t="s">
        <v>109</v>
      </c>
      <c r="B18" s="265">
        <v>6</v>
      </c>
      <c r="C18" s="266">
        <v>8</v>
      </c>
      <c r="D18" s="269"/>
      <c r="E18" s="183">
        <f t="shared" ref="E18:G18" si="3">SUM(E19:E23)</f>
        <v>17</v>
      </c>
      <c r="F18" s="184">
        <f t="shared" si="3"/>
        <v>18</v>
      </c>
      <c r="G18" s="184">
        <f t="shared" si="3"/>
        <v>5</v>
      </c>
      <c r="H18" s="185">
        <f t="shared" si="1"/>
        <v>40</v>
      </c>
      <c r="I18" s="7"/>
    </row>
    <row r="19" spans="1:19" ht="20.100000000000001" customHeight="1">
      <c r="A19" s="311" t="s">
        <v>40</v>
      </c>
      <c r="B19" s="257">
        <v>1</v>
      </c>
      <c r="C19" s="258">
        <v>7</v>
      </c>
      <c r="D19" s="270"/>
      <c r="E19" s="285">
        <v>13</v>
      </c>
      <c r="F19" s="286">
        <v>1</v>
      </c>
      <c r="G19" s="286">
        <v>1</v>
      </c>
      <c r="H19" s="186">
        <f t="shared" si="1"/>
        <v>15</v>
      </c>
      <c r="I19" s="7"/>
    </row>
    <row r="20" spans="1:19" ht="20.100000000000001" customHeight="1">
      <c r="A20" s="306"/>
      <c r="B20" s="261">
        <v>1</v>
      </c>
      <c r="C20" s="264">
        <v>6</v>
      </c>
      <c r="D20" s="268"/>
      <c r="E20" s="289">
        <v>1</v>
      </c>
      <c r="F20" s="291">
        <v>14</v>
      </c>
      <c r="G20" s="288">
        <v>1</v>
      </c>
      <c r="H20" s="186">
        <f t="shared" si="1"/>
        <v>16</v>
      </c>
      <c r="I20" s="7"/>
    </row>
    <row r="21" spans="1:19" ht="20.100000000000001" customHeight="1">
      <c r="A21" s="306"/>
      <c r="B21" s="261">
        <v>1</v>
      </c>
      <c r="C21" s="264">
        <v>6</v>
      </c>
      <c r="D21" s="268"/>
      <c r="E21" s="289">
        <v>1</v>
      </c>
      <c r="F21" s="288">
        <v>1</v>
      </c>
      <c r="G21" s="288">
        <v>1</v>
      </c>
      <c r="H21" s="186">
        <f t="shared" si="1"/>
        <v>3</v>
      </c>
      <c r="I21" s="7"/>
    </row>
    <row r="22" spans="1:19" ht="20.100000000000001" customHeight="1">
      <c r="A22" s="306"/>
      <c r="B22" s="261">
        <v>1</v>
      </c>
      <c r="C22" s="264">
        <v>6</v>
      </c>
      <c r="D22" s="268"/>
      <c r="E22" s="289">
        <v>1</v>
      </c>
      <c r="F22" s="288">
        <v>1</v>
      </c>
      <c r="G22" s="288">
        <v>1</v>
      </c>
      <c r="H22" s="186">
        <f t="shared" si="1"/>
        <v>3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20.100000000000001" customHeight="1" thickBot="1">
      <c r="A23" s="312"/>
      <c r="B23" s="271">
        <v>1</v>
      </c>
      <c r="C23" s="272">
        <v>8</v>
      </c>
      <c r="D23" s="273"/>
      <c r="E23" s="292">
        <v>1</v>
      </c>
      <c r="F23" s="293">
        <v>1</v>
      </c>
      <c r="G23" s="293">
        <v>1</v>
      </c>
      <c r="H23" s="188">
        <f t="shared" si="1"/>
        <v>3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20.100000000000001" customHeight="1" thickBot="1">
      <c r="A24" s="313" t="s">
        <v>41</v>
      </c>
      <c r="B24" s="274">
        <v>1</v>
      </c>
      <c r="C24" s="275">
        <v>9</v>
      </c>
      <c r="D24" s="276"/>
      <c r="E24" s="193">
        <f t="shared" ref="E24:G24" si="4">SUM(E25:E29)</f>
        <v>18</v>
      </c>
      <c r="F24" s="194">
        <f t="shared" si="4"/>
        <v>9</v>
      </c>
      <c r="G24" s="194">
        <f t="shared" si="4"/>
        <v>25</v>
      </c>
      <c r="H24" s="182">
        <f t="shared" si="1"/>
        <v>52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20.100000000000001" customHeight="1">
      <c r="A25" s="311" t="s">
        <v>42</v>
      </c>
      <c r="B25" s="257">
        <v>1</v>
      </c>
      <c r="C25" s="258">
        <v>7</v>
      </c>
      <c r="D25" s="270"/>
      <c r="E25" s="290"/>
      <c r="F25" s="286">
        <v>2</v>
      </c>
      <c r="G25" s="294">
        <v>21</v>
      </c>
      <c r="H25" s="186">
        <f t="shared" si="1"/>
        <v>23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20.100000000000001" customHeight="1">
      <c r="A26" s="306"/>
      <c r="B26" s="261">
        <v>5</v>
      </c>
      <c r="C26" s="264">
        <v>9</v>
      </c>
      <c r="D26" s="268"/>
      <c r="E26" s="289"/>
      <c r="F26" s="288">
        <v>2</v>
      </c>
      <c r="G26" s="288">
        <v>1</v>
      </c>
      <c r="H26" s="186">
        <f t="shared" si="1"/>
        <v>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20.100000000000001" customHeight="1">
      <c r="A27" s="306"/>
      <c r="B27" s="277">
        <v>6</v>
      </c>
      <c r="C27" s="278">
        <v>9</v>
      </c>
      <c r="D27" s="279"/>
      <c r="E27" s="287">
        <v>18</v>
      </c>
      <c r="F27" s="288">
        <v>2</v>
      </c>
      <c r="G27" s="288">
        <v>1</v>
      </c>
      <c r="H27" s="186">
        <f t="shared" si="1"/>
        <v>21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20.100000000000001" customHeight="1">
      <c r="A28" s="306"/>
      <c r="B28" s="261">
        <v>6</v>
      </c>
      <c r="C28" s="264">
        <v>9</v>
      </c>
      <c r="D28" s="280"/>
      <c r="E28" s="289"/>
      <c r="F28" s="288">
        <v>2</v>
      </c>
      <c r="G28" s="288">
        <v>1</v>
      </c>
      <c r="H28" s="187">
        <f t="shared" si="1"/>
        <v>3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20.100000000000001" customHeight="1" thickBot="1">
      <c r="A29" s="306"/>
      <c r="B29" s="261">
        <v>6</v>
      </c>
      <c r="C29" s="264">
        <v>9</v>
      </c>
      <c r="D29" s="268"/>
      <c r="E29" s="289"/>
      <c r="F29" s="288">
        <v>1</v>
      </c>
      <c r="G29" s="288">
        <v>1</v>
      </c>
      <c r="H29" s="186">
        <f t="shared" si="1"/>
        <v>2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20.100000000000001" customHeight="1" thickBot="1">
      <c r="A30" s="310" t="s">
        <v>43</v>
      </c>
      <c r="B30" s="265">
        <v>6</v>
      </c>
      <c r="C30" s="266">
        <v>9</v>
      </c>
      <c r="D30" s="269"/>
      <c r="E30" s="183">
        <f t="shared" ref="E30:G30" si="5">SUM(E31:E35)</f>
        <v>35</v>
      </c>
      <c r="F30" s="184">
        <f t="shared" si="5"/>
        <v>2</v>
      </c>
      <c r="G30" s="184">
        <f t="shared" si="5"/>
        <v>6</v>
      </c>
      <c r="H30" s="185">
        <f t="shared" si="1"/>
        <v>43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20.100000000000001" customHeight="1">
      <c r="A31" s="311" t="s">
        <v>44</v>
      </c>
      <c r="B31" s="257">
        <v>6</v>
      </c>
      <c r="C31" s="258">
        <v>9</v>
      </c>
      <c r="D31" s="281"/>
      <c r="E31" s="290">
        <v>5</v>
      </c>
      <c r="F31" s="286"/>
      <c r="G31" s="286"/>
      <c r="H31" s="186">
        <f t="shared" si="1"/>
        <v>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20.100000000000001" customHeight="1">
      <c r="A32" s="306"/>
      <c r="B32" s="261">
        <v>6</v>
      </c>
      <c r="C32" s="264">
        <v>9</v>
      </c>
      <c r="D32" s="268"/>
      <c r="E32" s="289">
        <v>5</v>
      </c>
      <c r="F32" s="288"/>
      <c r="G32" s="288"/>
      <c r="H32" s="186">
        <f t="shared" si="1"/>
        <v>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5" ht="20.100000000000001" customHeight="1">
      <c r="A33" s="306"/>
      <c r="B33" s="261">
        <v>6</v>
      </c>
      <c r="C33" s="264">
        <v>9</v>
      </c>
      <c r="D33" s="280"/>
      <c r="E33" s="289">
        <v>5</v>
      </c>
      <c r="F33" s="288">
        <v>1</v>
      </c>
      <c r="G33" s="288">
        <v>3</v>
      </c>
      <c r="H33" s="186">
        <f t="shared" si="1"/>
        <v>9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5" ht="20.100000000000001" customHeight="1">
      <c r="A34" s="306"/>
      <c r="B34" s="261">
        <v>6</v>
      </c>
      <c r="C34" s="264">
        <v>9</v>
      </c>
      <c r="D34" s="268"/>
      <c r="E34" s="287">
        <v>20</v>
      </c>
      <c r="F34" s="288">
        <v>1</v>
      </c>
      <c r="G34" s="288">
        <v>3</v>
      </c>
      <c r="H34" s="186">
        <f t="shared" si="1"/>
        <v>24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25" ht="20.100000000000001" customHeight="1" thickBot="1">
      <c r="A35" s="306"/>
      <c r="B35" s="271">
        <v>6</v>
      </c>
      <c r="C35" s="272">
        <v>9</v>
      </c>
      <c r="D35" s="273"/>
      <c r="E35" s="295"/>
      <c r="F35" s="296"/>
      <c r="G35" s="296"/>
      <c r="H35" s="188">
        <f t="shared" si="1"/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25" ht="20.100000000000001" customHeight="1" thickBot="1">
      <c r="A36" s="8" t="s">
        <v>45</v>
      </c>
      <c r="B36" s="282"/>
      <c r="C36" s="283"/>
      <c r="D36" s="284"/>
      <c r="E36" s="192">
        <f>SUM(E6,E12,E18,E24,E30)</f>
        <v>90</v>
      </c>
      <c r="F36" s="192">
        <f>SUM(F6,F12,F18,F24,F30)</f>
        <v>35</v>
      </c>
      <c r="G36" s="192">
        <f t="shared" ref="G36:H36" si="6">SUM(G6,G12,G18,G24,G30)</f>
        <v>45</v>
      </c>
      <c r="H36" s="189">
        <f t="shared" si="6"/>
        <v>170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5" ht="20.100000000000001" customHeight="1" thickBot="1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11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20.100000000000001" customHeight="1" thickBot="1">
      <c r="A38" s="3"/>
      <c r="B38" s="4"/>
      <c r="D38" s="361" t="s">
        <v>46</v>
      </c>
      <c r="E38" s="297"/>
      <c r="F38" s="298"/>
      <c r="G38" s="299"/>
      <c r="H38" s="191">
        <f>SUM(E38:G38)</f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25" ht="20.100000000000001" customHeight="1" thickBot="1">
      <c r="A39" s="3"/>
      <c r="B39" s="4"/>
      <c r="D39" s="361"/>
      <c r="E39" s="300"/>
      <c r="F39" s="301"/>
      <c r="G39" s="302"/>
      <c r="H39" s="191">
        <f>SUM(E39:G39)</f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25" ht="16.5" thickBot="1">
      <c r="A40" s="3"/>
      <c r="B40" s="4"/>
      <c r="D40" s="361"/>
      <c r="E40" s="190">
        <f>E38+E39</f>
        <v>0</v>
      </c>
      <c r="F40" s="190">
        <f t="shared" ref="F40:H40" si="7">F38+F39</f>
        <v>0</v>
      </c>
      <c r="G40" s="190">
        <f t="shared" si="7"/>
        <v>0</v>
      </c>
      <c r="H40" s="190">
        <f t="shared" si="7"/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25" ht="20.100000000000001" customHeight="1" thickBo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1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20.100000000000001" customHeight="1" thickTop="1" thickBot="1">
      <c r="A42" s="3"/>
      <c r="B42" s="3"/>
      <c r="D42" s="362" t="s">
        <v>47</v>
      </c>
      <c r="E42" s="362"/>
      <c r="F42" s="362"/>
      <c r="G42" s="362"/>
      <c r="H42" s="4"/>
      <c r="I42" s="1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5" ht="20.100000000000001" customHeight="1" thickTop="1">
      <c r="A43" s="3"/>
      <c r="B43" s="3"/>
      <c r="C43" s="4"/>
      <c r="D43" s="24"/>
      <c r="E43" s="24" t="s">
        <v>116</v>
      </c>
      <c r="F43" s="24" t="s">
        <v>48</v>
      </c>
      <c r="G43" s="24" t="s">
        <v>49</v>
      </c>
      <c r="H43" s="4"/>
      <c r="I43" s="1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5" ht="20.100000000000001" customHeight="1">
      <c r="A44" s="3"/>
      <c r="B44" s="3"/>
      <c r="C44" s="4"/>
      <c r="D44" s="2" t="s">
        <v>54</v>
      </c>
      <c r="E44" s="252">
        <f>'1. Distribuzione Mesi-Uomo'!E6</f>
        <v>15</v>
      </c>
      <c r="F44" s="253">
        <f>E12</f>
        <v>5</v>
      </c>
      <c r="G44" s="252">
        <f>E18</f>
        <v>17</v>
      </c>
      <c r="H44" s="4"/>
      <c r="I44" s="1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5" ht="20.100000000000001" customHeight="1">
      <c r="A45" s="3"/>
      <c r="B45" s="3"/>
      <c r="C45" s="4"/>
      <c r="D45" s="2" t="s">
        <v>35</v>
      </c>
      <c r="E45" s="253">
        <f>F6</f>
        <v>1</v>
      </c>
      <c r="F45" s="253">
        <f>F12</f>
        <v>5</v>
      </c>
      <c r="G45" s="253">
        <f>F18</f>
        <v>18</v>
      </c>
      <c r="H45" s="4"/>
      <c r="I45" s="1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5" ht="20.100000000000001" customHeight="1">
      <c r="A46" s="3"/>
      <c r="B46" s="3"/>
      <c r="C46" s="4"/>
      <c r="D46" s="2" t="s">
        <v>55</v>
      </c>
      <c r="E46" s="253">
        <f>G6</f>
        <v>4</v>
      </c>
      <c r="F46" s="253">
        <f>G12</f>
        <v>5</v>
      </c>
      <c r="G46" s="253">
        <f>G18</f>
        <v>5</v>
      </c>
      <c r="H46" s="4"/>
      <c r="I46" s="1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5" ht="20.100000000000001" customHeight="1">
      <c r="A47" s="3"/>
      <c r="B47" s="3"/>
      <c r="C47" s="4"/>
      <c r="D47" s="1"/>
      <c r="E47" s="195">
        <f>SUM(E44:E46)</f>
        <v>20</v>
      </c>
      <c r="F47" s="195">
        <f>SUM(F44:F46)</f>
        <v>15</v>
      </c>
      <c r="G47" s="195">
        <f>SUM(G44:G46)</f>
        <v>40</v>
      </c>
      <c r="H47" s="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25" ht="20.100000000000001" customHeight="1">
      <c r="A48" s="3"/>
      <c r="B48" s="4"/>
      <c r="C48" s="4"/>
      <c r="D48" s="4"/>
      <c r="E48" s="4"/>
      <c r="F48" s="4"/>
      <c r="G48" s="4"/>
      <c r="H48" s="4"/>
      <c r="I48" s="1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5" ht="20.100000000000001" customHeight="1">
      <c r="A49" s="3"/>
      <c r="B49" s="4"/>
      <c r="C49" s="4"/>
      <c r="D49" s="4"/>
      <c r="E49" s="4"/>
      <c r="F49" s="4"/>
      <c r="G49" s="4"/>
      <c r="H49" s="4"/>
      <c r="I49" s="1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5" ht="20.100000000000001" customHeight="1">
      <c r="A50" s="3"/>
      <c r="B50" s="4"/>
      <c r="C50" s="4"/>
      <c r="D50" s="4"/>
      <c r="E50" s="4"/>
      <c r="F50" s="4"/>
      <c r="G50" s="4"/>
      <c r="H50" s="4"/>
      <c r="I50" s="1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5" ht="20.100000000000001" customHeight="1">
      <c r="A51" s="3"/>
      <c r="B51" s="4"/>
      <c r="C51" s="4"/>
      <c r="D51" s="4"/>
      <c r="E51" s="4"/>
      <c r="F51" s="4"/>
      <c r="G51" s="4"/>
      <c r="H51" s="4"/>
      <c r="I51" s="1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5" ht="20.100000000000001" customHeight="1">
      <c r="A52" s="3"/>
      <c r="B52" s="4"/>
      <c r="C52" s="4"/>
      <c r="D52" s="4"/>
      <c r="E52" s="4"/>
      <c r="F52" s="4"/>
      <c r="G52" s="4"/>
      <c r="H52" s="4"/>
      <c r="I52" s="1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5" ht="20.100000000000001" customHeight="1">
      <c r="A53" s="3"/>
      <c r="B53" s="4"/>
      <c r="C53" s="4"/>
      <c r="D53" s="4"/>
      <c r="E53" s="4"/>
      <c r="F53" s="4"/>
      <c r="G53" s="4"/>
      <c r="H53" s="4"/>
      <c r="I53" s="1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5" ht="20.100000000000001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1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5" ht="20.100000000000001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1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5" ht="20.100000000000001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1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20.100000000000001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1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20.100000000000001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1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20.100000000000001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1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20.100000000000001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20.100000000000001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1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20.100000000000001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1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20.100000000000001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1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20.100000000000001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1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20.100000000000001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1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20.100000000000001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1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20.100000000000001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1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20.100000000000001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1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20.100000000000001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11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20.100000000000001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11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20.100000000000001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11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20.100000000000001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11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20.100000000000001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11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20.100000000000001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1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20.100000000000001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11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20.100000000000001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11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20.100000000000001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11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20.100000000000001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11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20.100000000000001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11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20.100000000000001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11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20.100000000000001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11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20.100000000000001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11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20.100000000000001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1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20.100000000000001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1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20.100000000000001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1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20.100000000000001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11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20.100000000000001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1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20.100000000000001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1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20.100000000000001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20.100000000000001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1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20.100000000000001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20.100000000000001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11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20.100000000000001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1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20.100000000000001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1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20.100000000000001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1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20.100000000000001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11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20.100000000000001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11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20.100000000000001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11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20.100000000000001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11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20.100000000000001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11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20.100000000000001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1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20.100000000000001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20.100000000000001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1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20.100000000000001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1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20.100000000000001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20.100000000000001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20.100000000000001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20.100000000000001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20.100000000000001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1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1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1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1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1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1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1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1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11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11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1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1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1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1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1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1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1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1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1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1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1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1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1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1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1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1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1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11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11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11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11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1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1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11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11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1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1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1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1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1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1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1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1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1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11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11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11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11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11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1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1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11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11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11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11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11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1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1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1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1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1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1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1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>
      <c r="A195" s="3"/>
      <c r="B195" s="4"/>
      <c r="C195" s="4"/>
      <c r="D195" s="4"/>
      <c r="E195" s="12"/>
      <c r="F195" s="12"/>
      <c r="G195" s="12"/>
      <c r="H195" s="4"/>
      <c r="I195" s="4"/>
      <c r="J195" s="4"/>
      <c r="K195" s="4"/>
      <c r="L195" s="4"/>
      <c r="M195" s="4"/>
      <c r="N195" s="11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>
      <c r="A196" s="3"/>
      <c r="B196" s="4"/>
      <c r="C196" s="4"/>
      <c r="D196" s="4"/>
      <c r="E196" s="5"/>
      <c r="F196" s="5"/>
      <c r="G196" s="5"/>
      <c r="H196" s="4"/>
      <c r="I196" s="4"/>
      <c r="J196" s="4"/>
      <c r="K196" s="4"/>
      <c r="L196" s="4"/>
      <c r="M196" s="4"/>
      <c r="N196" s="1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>
      <c r="A197" s="3"/>
      <c r="B197" s="4"/>
      <c r="C197" s="4"/>
      <c r="D197" s="4"/>
      <c r="E197" s="5"/>
      <c r="F197" s="5"/>
      <c r="G197" s="5"/>
      <c r="H197" s="4"/>
      <c r="I197" s="4"/>
      <c r="J197" s="4"/>
      <c r="K197" s="4"/>
      <c r="L197" s="4"/>
      <c r="M197" s="4"/>
      <c r="N197" s="1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>
      <c r="A198" s="3"/>
      <c r="B198" s="4"/>
      <c r="C198" s="4"/>
      <c r="D198" s="4"/>
      <c r="E198" s="5"/>
      <c r="F198" s="5"/>
      <c r="G198" s="5"/>
      <c r="H198" s="4"/>
      <c r="I198" s="4"/>
      <c r="J198" s="4"/>
      <c r="K198" s="4"/>
      <c r="L198" s="4"/>
      <c r="M198" s="4"/>
      <c r="N198" s="1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>
      <c r="A199" s="3"/>
      <c r="B199" s="4"/>
      <c r="C199" s="4"/>
      <c r="D199" s="4"/>
      <c r="E199" s="5"/>
      <c r="F199" s="5"/>
      <c r="G199" s="5"/>
      <c r="H199" s="4"/>
      <c r="I199" s="4"/>
      <c r="J199" s="4"/>
      <c r="K199" s="4"/>
      <c r="L199" s="4"/>
      <c r="M199" s="4"/>
      <c r="N199" s="1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>
      <c r="A200" s="3"/>
      <c r="B200" s="4"/>
      <c r="C200" s="4"/>
      <c r="D200" s="4"/>
      <c r="E200" s="5"/>
      <c r="F200" s="5"/>
      <c r="G200" s="5"/>
      <c r="H200" s="4"/>
      <c r="I200" s="4"/>
      <c r="J200" s="4"/>
      <c r="K200" s="4"/>
      <c r="L200" s="4"/>
      <c r="M200" s="4"/>
      <c r="N200" s="1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>
      <c r="A201" s="3"/>
      <c r="B201" s="4"/>
      <c r="C201" s="4"/>
      <c r="D201" s="4"/>
      <c r="E201" s="5"/>
      <c r="F201" s="5"/>
      <c r="G201" s="5"/>
      <c r="H201" s="12"/>
      <c r="I201" s="12"/>
      <c r="J201" s="12"/>
      <c r="K201" s="12"/>
      <c r="L201" s="12"/>
      <c r="M201" s="12"/>
      <c r="N201" s="13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6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6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6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6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6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6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6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6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6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6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6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6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6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6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6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6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6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6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6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6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6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6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6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6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6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6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6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6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6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6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6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6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6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6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6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6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6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6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6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6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6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6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6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6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6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6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6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6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6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6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6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6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6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6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6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6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6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6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6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6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6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6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6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6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6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6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6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6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6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6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6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6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6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6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6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6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6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6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6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6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6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6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6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6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6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6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6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6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6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6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6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6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6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6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6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6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6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6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6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6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6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6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6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6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6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6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6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6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6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6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6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6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6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6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6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6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6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6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6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6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6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6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6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6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6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6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6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6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6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6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6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6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6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6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6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6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6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6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6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6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6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6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6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6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6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6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6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6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6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6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6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6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6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6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6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6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6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6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6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6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6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6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6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6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6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6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6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6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6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6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6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6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6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6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6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6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6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6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6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6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6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6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6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6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6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6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6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6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6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6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6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6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6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6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6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6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6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6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6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6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6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6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6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6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6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6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6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6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6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6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6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6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6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6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6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6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6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6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6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6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6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6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6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6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6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6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6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6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6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6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6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6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6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6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6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6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6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6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6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6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6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6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6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6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6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6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6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6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6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6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6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6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6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6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6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6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6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6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6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6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6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6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6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6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6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6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6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6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6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6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6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6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6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6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6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6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6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6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6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6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6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6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6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6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6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6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6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6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6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6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6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6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6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6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6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6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6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6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6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6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6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6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6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6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6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6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6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6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6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6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6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6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6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6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6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6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6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6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6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6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6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6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6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6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6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6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6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6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6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6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6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6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6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6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6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6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6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6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6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6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6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6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6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6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6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6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6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6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6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6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6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6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6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6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6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6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6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6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6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6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6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6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6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6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6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6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6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6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6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6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6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6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6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6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6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6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6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6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6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6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6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6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6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6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6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6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6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6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6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6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6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6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6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6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6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6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6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6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6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6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6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6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6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6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6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6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6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6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6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6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6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6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6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6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6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6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6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6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6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6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6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6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6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6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6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6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6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6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6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6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6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6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6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6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6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6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6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6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6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6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6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6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6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6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6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6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6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6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6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6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6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6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6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6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6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6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6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6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6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6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6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6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6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6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6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6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6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6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6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6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6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6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6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6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6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6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6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6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6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6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6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6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6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6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6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6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6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6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6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6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6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6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6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6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6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6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6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6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6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6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6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6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6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6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6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6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6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6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6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6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6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6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6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6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6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6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6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6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6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6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6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6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6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6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6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6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6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6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6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6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6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6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6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6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6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6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6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6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6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6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6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6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6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6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6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6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6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6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6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6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6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6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6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6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6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6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6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6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6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6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6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6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6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6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6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6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6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6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6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6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6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6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6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6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6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6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6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6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6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6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6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6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6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6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6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6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6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6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6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6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6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6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6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6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6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6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6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6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6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6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6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6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6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6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6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6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6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6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6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6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6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6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6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6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6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6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6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6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6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6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6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6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6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6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6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6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6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6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6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6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6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6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6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6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6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6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6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6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6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6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6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6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6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6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6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6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6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6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6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6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6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6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6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6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6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6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6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6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6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6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6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6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6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6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6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6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6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6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6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6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6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6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6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6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6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6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6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6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6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6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6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6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6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6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6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6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6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6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6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6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6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6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6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6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6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6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6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6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6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6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6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6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6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6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6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6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6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6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6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6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6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>
      <c r="A977" s="3"/>
      <c r="B977" s="4"/>
      <c r="H977" s="5"/>
      <c r="I977" s="5"/>
      <c r="J977" s="5"/>
      <c r="K977" s="5"/>
      <c r="L977" s="5"/>
      <c r="M977" s="5"/>
      <c r="N977" s="6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>
      <c r="A978" s="3"/>
      <c r="B978" s="4"/>
      <c r="H978" s="5"/>
      <c r="I978" s="5"/>
      <c r="J978" s="5"/>
      <c r="K978" s="5"/>
      <c r="L978" s="5"/>
      <c r="M978" s="5"/>
      <c r="N978" s="6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>
      <c r="A979" s="3"/>
      <c r="B979" s="4"/>
      <c r="H979" s="5"/>
      <c r="I979" s="5"/>
      <c r="J979" s="5"/>
      <c r="K979" s="5"/>
      <c r="L979" s="5"/>
      <c r="M979" s="5"/>
      <c r="N979" s="6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>
      <c r="A980" s="3"/>
      <c r="B980" s="4"/>
      <c r="H980" s="5"/>
      <c r="I980" s="5"/>
      <c r="J980" s="5"/>
      <c r="K980" s="5"/>
      <c r="L980" s="5"/>
      <c r="M980" s="5"/>
      <c r="N980" s="6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>
      <c r="A981" s="3"/>
      <c r="B981" s="4"/>
      <c r="H981" s="5"/>
      <c r="I981" s="5"/>
      <c r="J981" s="5"/>
      <c r="K981" s="5"/>
      <c r="L981" s="5"/>
      <c r="M981" s="5"/>
      <c r="N981" s="6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>
      <c r="A982" s="3"/>
      <c r="B982" s="4"/>
      <c r="H982" s="5"/>
      <c r="I982" s="5"/>
      <c r="J982" s="5"/>
      <c r="K982" s="5"/>
      <c r="L982" s="5"/>
      <c r="M982" s="5"/>
      <c r="N982" s="6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</sheetData>
  <mergeCells count="2">
    <mergeCell ref="D38:D40"/>
    <mergeCell ref="D42:G42"/>
  </mergeCells>
  <phoneticPr fontId="8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28515625" defaultRowHeight="15"/>
  <cols>
    <col min="1" max="3" width="14.28515625" style="15"/>
    <col min="4" max="4" width="10.7109375" style="15" customWidth="1"/>
    <col min="5" max="5" width="12.42578125" style="15" customWidth="1"/>
    <col min="6" max="19" width="14.28515625" style="15"/>
    <col min="20" max="20" width="40.85546875" style="15" customWidth="1"/>
    <col min="21" max="16384" width="14.28515625" style="15"/>
  </cols>
  <sheetData>
    <row r="1" spans="1:21" s="25" customFormat="1" ht="41.45" customHeight="1" thickTop="1" thickBot="1">
      <c r="A1" s="375" t="s">
        <v>56</v>
      </c>
      <c r="B1" s="375"/>
      <c r="C1" s="375"/>
      <c r="D1" s="375"/>
      <c r="E1" s="376"/>
      <c r="F1" s="366" t="s">
        <v>57</v>
      </c>
      <c r="G1" s="366"/>
      <c r="H1" s="366"/>
      <c r="I1" s="366" t="s">
        <v>58</v>
      </c>
      <c r="J1" s="366"/>
      <c r="K1" s="367" t="s">
        <v>59</v>
      </c>
      <c r="L1" s="367"/>
      <c r="M1" s="367" t="s">
        <v>60</v>
      </c>
      <c r="N1" s="367"/>
      <c r="O1" s="367" t="s">
        <v>61</v>
      </c>
      <c r="P1" s="367"/>
      <c r="Q1" s="370" t="s">
        <v>62</v>
      </c>
      <c r="R1" s="371"/>
      <c r="S1" s="372"/>
      <c r="T1" s="373" t="s">
        <v>63</v>
      </c>
      <c r="U1" s="373" t="s">
        <v>64</v>
      </c>
    </row>
    <row r="2" spans="1:21" s="21" customFormat="1" ht="29.45" customHeight="1" thickTop="1" thickBot="1">
      <c r="A2" s="28"/>
      <c r="B2" s="28"/>
      <c r="C2" s="28"/>
      <c r="D2" s="50" t="s">
        <v>65</v>
      </c>
      <c r="E2" s="50" t="s">
        <v>66</v>
      </c>
      <c r="F2" s="51" t="s">
        <v>67</v>
      </c>
      <c r="G2" s="51" t="s">
        <v>68</v>
      </c>
      <c r="H2" s="52" t="s">
        <v>69</v>
      </c>
      <c r="I2" s="51" t="s">
        <v>67</v>
      </c>
      <c r="J2" s="51" t="s">
        <v>68</v>
      </c>
      <c r="K2" s="51" t="s">
        <v>70</v>
      </c>
      <c r="L2" s="51" t="s">
        <v>71</v>
      </c>
      <c r="M2" s="51" t="s">
        <v>70</v>
      </c>
      <c r="N2" s="51" t="s">
        <v>71</v>
      </c>
      <c r="O2" s="51" t="s">
        <v>70</v>
      </c>
      <c r="P2" s="51" t="s">
        <v>71</v>
      </c>
      <c r="Q2" s="51" t="s">
        <v>70</v>
      </c>
      <c r="R2" s="51" t="s">
        <v>71</v>
      </c>
      <c r="S2" s="51" t="s">
        <v>69</v>
      </c>
      <c r="T2" s="374"/>
      <c r="U2" s="374"/>
    </row>
    <row r="3" spans="1:21" s="49" customFormat="1" ht="15" customHeight="1" thickBot="1">
      <c r="A3" s="48"/>
      <c r="B3" s="368" t="s">
        <v>72</v>
      </c>
      <c r="C3" s="369"/>
      <c r="D3" s="70">
        <f>SUM(D4,D8,D12,D16,D20,D24,D28)</f>
        <v>55</v>
      </c>
      <c r="E3" s="70">
        <f>SUM(E4,E8,E12,E16,E20,E24,E28)</f>
        <v>38</v>
      </c>
      <c r="F3" s="71">
        <f>SUM(F4,F8,F12,F16,F20,F24,F28)</f>
        <v>2445</v>
      </c>
      <c r="G3" s="72">
        <f t="shared" ref="G3:I3" si="0">SUM(G4,G8,G12,G16,G20,G24,G28)</f>
        <v>1570</v>
      </c>
      <c r="H3" s="73">
        <f t="shared" si="0"/>
        <v>4015</v>
      </c>
      <c r="I3" s="71">
        <f t="shared" si="0"/>
        <v>366.75</v>
      </c>
      <c r="J3" s="71">
        <f>SUM(J4,J8,J12,J16,J20,J24,J28)</f>
        <v>235.5</v>
      </c>
      <c r="K3" s="53"/>
      <c r="L3" s="54"/>
      <c r="M3" s="53"/>
      <c r="N3" s="54"/>
      <c r="O3" s="53"/>
      <c r="P3" s="54"/>
      <c r="Q3" s="94">
        <f>F3+I3+K3+M3+O3</f>
        <v>2811.75</v>
      </c>
      <c r="R3" s="55">
        <f>G3+J3+L3+N3+P3</f>
        <v>1805.5</v>
      </c>
      <c r="S3" s="55">
        <f>SUM(H3:P3)</f>
        <v>4617.25</v>
      </c>
      <c r="T3" s="56" t="str">
        <f>IF(R3&gt;=20%*S3,"OK","VINCOLO NON SODDISFATTO")</f>
        <v>OK</v>
      </c>
      <c r="U3" s="57">
        <f>65%*(F3+I3+K3+M3+O3)+40%*(G3+J3+L3+N3+P3)</f>
        <v>2549.8375000000001</v>
      </c>
    </row>
    <row r="4" spans="1:21" ht="15" customHeight="1" thickBot="1">
      <c r="A4" s="29"/>
      <c r="B4" s="60"/>
      <c r="C4" s="60" t="s">
        <v>73</v>
      </c>
      <c r="D4" s="61">
        <f>SUM(D5:D7)</f>
        <v>15</v>
      </c>
      <c r="E4" s="61">
        <f t="shared" ref="E4:I4" si="1">SUM(E5:E7)</f>
        <v>0</v>
      </c>
      <c r="F4" s="62">
        <f>SUM(F5:F7)</f>
        <v>485</v>
      </c>
      <c r="G4" s="62">
        <f t="shared" si="1"/>
        <v>0</v>
      </c>
      <c r="H4" s="62">
        <f t="shared" si="1"/>
        <v>485</v>
      </c>
      <c r="I4" s="62">
        <f t="shared" si="1"/>
        <v>72.75</v>
      </c>
      <c r="J4" s="62">
        <f>SUM(J5:J7)</f>
        <v>0</v>
      </c>
      <c r="K4" s="38"/>
      <c r="L4" s="38"/>
      <c r="M4" s="38"/>
      <c r="N4" s="38"/>
      <c r="O4" s="38"/>
      <c r="P4" s="38"/>
      <c r="Q4" s="39"/>
      <c r="R4" s="39"/>
      <c r="S4" s="39"/>
      <c r="T4" s="40"/>
      <c r="U4" s="41"/>
    </row>
    <row r="5" spans="1:21">
      <c r="A5" s="363" t="s">
        <v>48</v>
      </c>
      <c r="B5" s="27" t="s">
        <v>74</v>
      </c>
      <c r="C5" s="22">
        <v>27</v>
      </c>
      <c r="D5" s="89">
        <v>10</v>
      </c>
      <c r="E5" s="89"/>
      <c r="F5" s="22">
        <f>D5*C5</f>
        <v>270</v>
      </c>
      <c r="G5" s="22">
        <f>E5*C5</f>
        <v>0</v>
      </c>
      <c r="H5" s="318">
        <f>(F5+G5)</f>
        <v>270</v>
      </c>
      <c r="I5" s="318">
        <f t="shared" ref="I5:I31" si="2">15%*F5</f>
        <v>40.5</v>
      </c>
      <c r="J5" s="318">
        <f t="shared" ref="J5:J31" si="3">15%*G5</f>
        <v>0</v>
      </c>
      <c r="K5" s="319"/>
      <c r="M5" s="320"/>
      <c r="N5" s="320"/>
    </row>
    <row r="6" spans="1:21">
      <c r="A6" s="364"/>
      <c r="B6" s="26" t="s">
        <v>75</v>
      </c>
      <c r="C6" s="35">
        <v>43</v>
      </c>
      <c r="D6" s="90">
        <v>5</v>
      </c>
      <c r="E6" s="90"/>
      <c r="F6" s="35">
        <f>D6*C6</f>
        <v>215</v>
      </c>
      <c r="G6" s="35">
        <f>E6*C6</f>
        <v>0</v>
      </c>
      <c r="H6" s="321">
        <f t="shared" ref="H6:H31" si="4">(F6+G6)</f>
        <v>215</v>
      </c>
      <c r="I6" s="321">
        <f t="shared" si="2"/>
        <v>32.25</v>
      </c>
      <c r="J6" s="321">
        <f t="shared" si="3"/>
        <v>0</v>
      </c>
      <c r="K6" s="319"/>
      <c r="M6" s="320"/>
      <c r="N6" s="320"/>
      <c r="Q6" s="58"/>
    </row>
    <row r="7" spans="1:21" ht="15.75" thickBot="1">
      <c r="A7" s="365"/>
      <c r="B7" s="30" t="s">
        <v>76</v>
      </c>
      <c r="C7" s="42">
        <v>75</v>
      </c>
      <c r="D7" s="91"/>
      <c r="E7" s="91"/>
      <c r="F7" s="42">
        <f t="shared" ref="F7:F31" si="5">D7*C7</f>
        <v>0</v>
      </c>
      <c r="G7" s="42">
        <f t="shared" ref="G7:G31" si="6">E7*C7</f>
        <v>0</v>
      </c>
      <c r="H7" s="322">
        <f t="shared" si="4"/>
        <v>0</v>
      </c>
      <c r="I7" s="322">
        <f>15%*F7</f>
        <v>0</v>
      </c>
      <c r="J7" s="322">
        <f t="shared" si="3"/>
        <v>0</v>
      </c>
      <c r="K7" s="319"/>
      <c r="L7" s="320"/>
      <c r="M7" s="320"/>
      <c r="N7" s="320"/>
    </row>
    <row r="8" spans="1:21" ht="15.75" thickBot="1">
      <c r="A8" s="59"/>
      <c r="B8" s="63"/>
      <c r="C8" s="64" t="s">
        <v>77</v>
      </c>
      <c r="D8" s="65">
        <f>SUM(D9:D11)</f>
        <v>5</v>
      </c>
      <c r="E8" s="65">
        <f t="shared" ref="E8:J8" si="7">SUM(E9:E11)</f>
        <v>0</v>
      </c>
      <c r="F8" s="66">
        <f t="shared" si="7"/>
        <v>215</v>
      </c>
      <c r="G8" s="67">
        <f t="shared" si="7"/>
        <v>0</v>
      </c>
      <c r="H8" s="68">
        <f t="shared" si="7"/>
        <v>215</v>
      </c>
      <c r="I8" s="66">
        <f t="shared" si="7"/>
        <v>32.25</v>
      </c>
      <c r="J8" s="66">
        <f t="shared" si="7"/>
        <v>0</v>
      </c>
      <c r="K8" s="323"/>
      <c r="L8" s="324"/>
      <c r="M8" s="324"/>
      <c r="N8" s="324"/>
      <c r="O8" s="43"/>
      <c r="P8" s="43"/>
      <c r="Q8" s="43"/>
      <c r="R8" s="43"/>
      <c r="S8" s="43"/>
      <c r="T8" s="43"/>
      <c r="U8" s="44"/>
    </row>
    <row r="9" spans="1:21">
      <c r="A9" s="363" t="s">
        <v>49</v>
      </c>
      <c r="B9" s="27" t="s">
        <v>74</v>
      </c>
      <c r="C9" s="22">
        <v>27</v>
      </c>
      <c r="D9" s="89"/>
      <c r="E9" s="89"/>
      <c r="F9" s="23">
        <f t="shared" si="5"/>
        <v>0</v>
      </c>
      <c r="G9" s="23">
        <f t="shared" si="6"/>
        <v>0</v>
      </c>
      <c r="H9" s="318">
        <f t="shared" si="4"/>
        <v>0</v>
      </c>
      <c r="I9" s="325">
        <f t="shared" si="2"/>
        <v>0</v>
      </c>
      <c r="J9" s="325">
        <f t="shared" si="3"/>
        <v>0</v>
      </c>
      <c r="K9" s="32"/>
    </row>
    <row r="10" spans="1:21">
      <c r="A10" s="364"/>
      <c r="B10" s="26" t="s">
        <v>75</v>
      </c>
      <c r="C10" s="35">
        <v>43</v>
      </c>
      <c r="D10" s="90">
        <v>5</v>
      </c>
      <c r="E10" s="90"/>
      <c r="F10" s="20">
        <f t="shared" si="5"/>
        <v>215</v>
      </c>
      <c r="G10" s="20">
        <f t="shared" si="6"/>
        <v>0</v>
      </c>
      <c r="H10" s="321">
        <f t="shared" si="4"/>
        <v>215</v>
      </c>
      <c r="I10" s="326">
        <f t="shared" si="2"/>
        <v>32.25</v>
      </c>
      <c r="J10" s="326">
        <f t="shared" si="3"/>
        <v>0</v>
      </c>
      <c r="K10" s="32"/>
    </row>
    <row r="11" spans="1:21" ht="15.75" thickBot="1">
      <c r="A11" s="365"/>
      <c r="B11" s="30" t="s">
        <v>76</v>
      </c>
      <c r="C11" s="42">
        <v>75</v>
      </c>
      <c r="D11" s="91"/>
      <c r="E11" s="91"/>
      <c r="F11" s="31">
        <f t="shared" si="5"/>
        <v>0</v>
      </c>
      <c r="G11" s="31">
        <f t="shared" si="6"/>
        <v>0</v>
      </c>
      <c r="H11" s="322">
        <f t="shared" si="4"/>
        <v>0</v>
      </c>
      <c r="I11" s="327">
        <f t="shared" si="2"/>
        <v>0</v>
      </c>
      <c r="J11" s="327">
        <f t="shared" si="3"/>
        <v>0</v>
      </c>
      <c r="K11" s="32"/>
    </row>
    <row r="12" spans="1:21" s="36" customFormat="1" ht="15.75" thickBot="1">
      <c r="A12" s="59"/>
      <c r="B12" s="63"/>
      <c r="C12" s="64" t="s">
        <v>78</v>
      </c>
      <c r="D12" s="65">
        <f>SUM(D13:D15)</f>
        <v>17</v>
      </c>
      <c r="E12" s="65">
        <f t="shared" ref="E12:J12" si="8">SUM(E13:E15)</f>
        <v>0</v>
      </c>
      <c r="F12" s="66">
        <f t="shared" si="8"/>
        <v>875</v>
      </c>
      <c r="G12" s="67">
        <f t="shared" si="8"/>
        <v>0</v>
      </c>
      <c r="H12" s="68">
        <f t="shared" si="8"/>
        <v>875</v>
      </c>
      <c r="I12" s="66">
        <f t="shared" si="8"/>
        <v>131.25</v>
      </c>
      <c r="J12" s="66">
        <f t="shared" si="8"/>
        <v>0</v>
      </c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7"/>
    </row>
    <row r="13" spans="1:21">
      <c r="A13" s="363" t="s">
        <v>50</v>
      </c>
      <c r="B13" s="27" t="s">
        <v>74</v>
      </c>
      <c r="C13" s="22">
        <v>27</v>
      </c>
      <c r="D13" s="89">
        <v>5</v>
      </c>
      <c r="E13" s="89"/>
      <c r="F13" s="23">
        <f t="shared" si="5"/>
        <v>135</v>
      </c>
      <c r="G13" s="23">
        <f t="shared" si="6"/>
        <v>0</v>
      </c>
      <c r="H13" s="318">
        <f t="shared" si="4"/>
        <v>135</v>
      </c>
      <c r="I13" s="325">
        <f t="shared" si="2"/>
        <v>20.25</v>
      </c>
      <c r="J13" s="325">
        <f t="shared" si="3"/>
        <v>0</v>
      </c>
      <c r="K13" s="32"/>
    </row>
    <row r="14" spans="1:21">
      <c r="A14" s="364"/>
      <c r="B14" s="26" t="s">
        <v>75</v>
      </c>
      <c r="C14" s="35">
        <v>43</v>
      </c>
      <c r="D14" s="90">
        <v>5</v>
      </c>
      <c r="E14" s="90"/>
      <c r="F14" s="20">
        <f t="shared" si="5"/>
        <v>215</v>
      </c>
      <c r="G14" s="20">
        <f t="shared" si="6"/>
        <v>0</v>
      </c>
      <c r="H14" s="321">
        <f t="shared" si="4"/>
        <v>215</v>
      </c>
      <c r="I14" s="326">
        <f t="shared" si="2"/>
        <v>32.25</v>
      </c>
      <c r="J14" s="326">
        <f t="shared" si="3"/>
        <v>0</v>
      </c>
      <c r="K14" s="32"/>
    </row>
    <row r="15" spans="1:21" ht="15.75" thickBot="1">
      <c r="A15" s="365"/>
      <c r="B15" s="30" t="s">
        <v>76</v>
      </c>
      <c r="C15" s="42">
        <v>75</v>
      </c>
      <c r="D15" s="91">
        <v>7</v>
      </c>
      <c r="E15" s="91"/>
      <c r="F15" s="31">
        <f t="shared" si="5"/>
        <v>525</v>
      </c>
      <c r="G15" s="31">
        <f t="shared" si="6"/>
        <v>0</v>
      </c>
      <c r="H15" s="322">
        <f t="shared" si="4"/>
        <v>525</v>
      </c>
      <c r="I15" s="327">
        <f t="shared" si="2"/>
        <v>78.75</v>
      </c>
      <c r="J15" s="327">
        <f t="shared" si="3"/>
        <v>0</v>
      </c>
      <c r="K15" s="32"/>
    </row>
    <row r="16" spans="1:21" s="36" customFormat="1" ht="15.75" thickBot="1">
      <c r="A16" s="59"/>
      <c r="B16" s="69"/>
      <c r="C16" s="66" t="s">
        <v>79</v>
      </c>
      <c r="D16" s="65">
        <f>SUM(D17:D19)</f>
        <v>18</v>
      </c>
      <c r="E16" s="65">
        <f t="shared" ref="E16:J16" si="9">SUM(E17:E19)</f>
        <v>0</v>
      </c>
      <c r="F16" s="66">
        <f t="shared" si="9"/>
        <v>870</v>
      </c>
      <c r="G16" s="66">
        <f t="shared" si="9"/>
        <v>0</v>
      </c>
      <c r="H16" s="66">
        <f t="shared" si="9"/>
        <v>870</v>
      </c>
      <c r="I16" s="66">
        <f t="shared" si="9"/>
        <v>130.5</v>
      </c>
      <c r="J16" s="66">
        <f t="shared" si="9"/>
        <v>0</v>
      </c>
      <c r="K16" s="45"/>
      <c r="L16" s="46"/>
      <c r="M16" s="46"/>
      <c r="N16" s="46"/>
      <c r="O16" s="46"/>
      <c r="P16" s="46"/>
      <c r="Q16" s="46"/>
      <c r="R16" s="46"/>
      <c r="S16" s="46"/>
      <c r="T16" s="46"/>
      <c r="U16" s="47"/>
    </row>
    <row r="17" spans="1:21">
      <c r="A17" s="363" t="s">
        <v>51</v>
      </c>
      <c r="B17" s="27" t="s">
        <v>74</v>
      </c>
      <c r="C17" s="22">
        <v>27</v>
      </c>
      <c r="D17" s="89">
        <v>6</v>
      </c>
      <c r="E17" s="89"/>
      <c r="F17" s="22">
        <f t="shared" si="5"/>
        <v>162</v>
      </c>
      <c r="G17" s="22">
        <f t="shared" si="6"/>
        <v>0</v>
      </c>
      <c r="H17" s="318">
        <f t="shared" si="4"/>
        <v>162</v>
      </c>
      <c r="I17" s="318">
        <f t="shared" si="2"/>
        <v>24.3</v>
      </c>
      <c r="J17" s="318">
        <f t="shared" si="3"/>
        <v>0</v>
      </c>
      <c r="K17" s="32"/>
    </row>
    <row r="18" spans="1:21">
      <c r="A18" s="364"/>
      <c r="B18" s="26" t="s">
        <v>75</v>
      </c>
      <c r="C18" s="35">
        <v>43</v>
      </c>
      <c r="D18" s="90">
        <v>6</v>
      </c>
      <c r="E18" s="90"/>
      <c r="F18" s="35">
        <f t="shared" si="5"/>
        <v>258</v>
      </c>
      <c r="G18" s="35">
        <f t="shared" si="6"/>
        <v>0</v>
      </c>
      <c r="H18" s="321">
        <f t="shared" si="4"/>
        <v>258</v>
      </c>
      <c r="I18" s="321">
        <f t="shared" si="2"/>
        <v>38.699999999999996</v>
      </c>
      <c r="J18" s="321">
        <f t="shared" si="3"/>
        <v>0</v>
      </c>
      <c r="K18" s="32"/>
    </row>
    <row r="19" spans="1:21" ht="15.75" thickBot="1">
      <c r="A19" s="365"/>
      <c r="B19" s="30" t="s">
        <v>76</v>
      </c>
      <c r="C19" s="42">
        <v>75</v>
      </c>
      <c r="D19" s="91">
        <v>6</v>
      </c>
      <c r="E19" s="91"/>
      <c r="F19" s="42">
        <f t="shared" si="5"/>
        <v>450</v>
      </c>
      <c r="G19" s="42">
        <f t="shared" si="6"/>
        <v>0</v>
      </c>
      <c r="H19" s="322">
        <f t="shared" si="4"/>
        <v>450</v>
      </c>
      <c r="I19" s="322">
        <f t="shared" si="2"/>
        <v>67.5</v>
      </c>
      <c r="J19" s="322">
        <f t="shared" si="3"/>
        <v>0</v>
      </c>
      <c r="K19" s="32"/>
    </row>
    <row r="20" spans="1:21" s="36" customFormat="1" ht="15.75" thickBot="1">
      <c r="A20" s="59"/>
      <c r="B20" s="69"/>
      <c r="C20" s="66" t="s">
        <v>80</v>
      </c>
      <c r="D20" s="65">
        <f>SUM(D21:D23)</f>
        <v>0</v>
      </c>
      <c r="E20" s="65">
        <f t="shared" ref="E20:J20" si="10">SUM(E21:E23)</f>
        <v>35</v>
      </c>
      <c r="F20" s="66">
        <f t="shared" si="10"/>
        <v>0</v>
      </c>
      <c r="G20" s="66">
        <f t="shared" si="10"/>
        <v>1489</v>
      </c>
      <c r="H20" s="66">
        <f t="shared" si="10"/>
        <v>1489</v>
      </c>
      <c r="I20" s="66">
        <f t="shared" si="10"/>
        <v>0</v>
      </c>
      <c r="J20" s="66">
        <f t="shared" si="10"/>
        <v>223.35</v>
      </c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7"/>
    </row>
    <row r="21" spans="1:21">
      <c r="A21" s="363" t="s">
        <v>52</v>
      </c>
      <c r="B21" s="27" t="s">
        <v>74</v>
      </c>
      <c r="C21" s="22">
        <v>27</v>
      </c>
      <c r="D21" s="89"/>
      <c r="E21" s="89">
        <v>15</v>
      </c>
      <c r="F21" s="23">
        <f t="shared" si="5"/>
        <v>0</v>
      </c>
      <c r="G21" s="23">
        <f t="shared" si="6"/>
        <v>405</v>
      </c>
      <c r="H21" s="318">
        <f t="shared" si="4"/>
        <v>405</v>
      </c>
      <c r="I21" s="325">
        <f t="shared" si="2"/>
        <v>0</v>
      </c>
      <c r="J21" s="325">
        <f t="shared" si="3"/>
        <v>60.75</v>
      </c>
      <c r="K21" s="32"/>
    </row>
    <row r="22" spans="1:21">
      <c r="A22" s="364"/>
      <c r="B22" s="26" t="s">
        <v>75</v>
      </c>
      <c r="C22" s="35">
        <v>43</v>
      </c>
      <c r="D22" s="90"/>
      <c r="E22" s="90">
        <v>13</v>
      </c>
      <c r="F22" s="20">
        <f t="shared" si="5"/>
        <v>0</v>
      </c>
      <c r="G22" s="20">
        <f t="shared" si="6"/>
        <v>559</v>
      </c>
      <c r="H22" s="321">
        <f t="shared" si="4"/>
        <v>559</v>
      </c>
      <c r="I22" s="326">
        <f t="shared" si="2"/>
        <v>0</v>
      </c>
      <c r="J22" s="326">
        <f t="shared" si="3"/>
        <v>83.85</v>
      </c>
      <c r="K22" s="32"/>
    </row>
    <row r="23" spans="1:21" ht="15.75" thickBot="1">
      <c r="A23" s="365"/>
      <c r="B23" s="30" t="s">
        <v>76</v>
      </c>
      <c r="C23" s="42">
        <v>75</v>
      </c>
      <c r="D23" s="91"/>
      <c r="E23" s="91">
        <v>7</v>
      </c>
      <c r="F23" s="31">
        <f t="shared" si="5"/>
        <v>0</v>
      </c>
      <c r="G23" s="31">
        <f t="shared" si="6"/>
        <v>525</v>
      </c>
      <c r="H23" s="322">
        <f t="shared" si="4"/>
        <v>525</v>
      </c>
      <c r="I23" s="327">
        <f t="shared" si="2"/>
        <v>0</v>
      </c>
      <c r="J23" s="327">
        <f t="shared" si="3"/>
        <v>78.75</v>
      </c>
      <c r="K23" s="32"/>
    </row>
    <row r="24" spans="1:21" s="36" customFormat="1" ht="15.75" thickBot="1">
      <c r="A24" s="59"/>
      <c r="B24" s="69"/>
      <c r="C24" s="66" t="s">
        <v>81</v>
      </c>
      <c r="D24" s="65">
        <f>SUM(D25:D27)</f>
        <v>0</v>
      </c>
      <c r="E24" s="65">
        <f t="shared" ref="E24:J24" si="11">SUM(E25:E27)</f>
        <v>3</v>
      </c>
      <c r="F24" s="66">
        <f t="shared" si="11"/>
        <v>0</v>
      </c>
      <c r="G24" s="66">
        <f t="shared" si="11"/>
        <v>81</v>
      </c>
      <c r="H24" s="66">
        <f t="shared" si="11"/>
        <v>81</v>
      </c>
      <c r="I24" s="66">
        <f t="shared" si="11"/>
        <v>0</v>
      </c>
      <c r="J24" s="66">
        <f t="shared" si="11"/>
        <v>12.15</v>
      </c>
      <c r="K24" s="45"/>
      <c r="L24" s="46"/>
      <c r="M24" s="46"/>
      <c r="N24" s="46"/>
      <c r="O24" s="46"/>
      <c r="P24" s="46"/>
      <c r="Q24" s="46"/>
      <c r="R24" s="46"/>
      <c r="S24" s="46"/>
      <c r="T24" s="46"/>
      <c r="U24" s="47"/>
    </row>
    <row r="25" spans="1:21">
      <c r="A25" s="363" t="s">
        <v>82</v>
      </c>
      <c r="B25" s="27" t="s">
        <v>74</v>
      </c>
      <c r="C25" s="22">
        <v>27</v>
      </c>
      <c r="D25" s="89"/>
      <c r="E25" s="89">
        <v>3</v>
      </c>
      <c r="F25" s="23">
        <f t="shared" si="5"/>
        <v>0</v>
      </c>
      <c r="G25" s="23">
        <f t="shared" si="6"/>
        <v>81</v>
      </c>
      <c r="H25" s="318">
        <f t="shared" si="4"/>
        <v>81</v>
      </c>
      <c r="I25" s="325">
        <f t="shared" si="2"/>
        <v>0</v>
      </c>
      <c r="J25" s="325">
        <f t="shared" si="3"/>
        <v>12.15</v>
      </c>
      <c r="K25" s="32"/>
    </row>
    <row r="26" spans="1:21">
      <c r="A26" s="364"/>
      <c r="B26" s="26" t="s">
        <v>75</v>
      </c>
      <c r="C26" s="35">
        <v>43</v>
      </c>
      <c r="D26" s="90"/>
      <c r="E26" s="90"/>
      <c r="F26" s="20">
        <f t="shared" si="5"/>
        <v>0</v>
      </c>
      <c r="G26" s="20">
        <f t="shared" si="6"/>
        <v>0</v>
      </c>
      <c r="H26" s="321">
        <f t="shared" si="4"/>
        <v>0</v>
      </c>
      <c r="I26" s="326">
        <f t="shared" si="2"/>
        <v>0</v>
      </c>
      <c r="J26" s="326">
        <f t="shared" si="3"/>
        <v>0</v>
      </c>
      <c r="K26" s="32"/>
    </row>
    <row r="27" spans="1:21" ht="15.75" thickBot="1">
      <c r="A27" s="365"/>
      <c r="B27" s="30" t="s">
        <v>76</v>
      </c>
      <c r="C27" s="42">
        <v>75</v>
      </c>
      <c r="D27" s="91"/>
      <c r="E27" s="91"/>
      <c r="F27" s="31">
        <f t="shared" si="5"/>
        <v>0</v>
      </c>
      <c r="G27" s="31">
        <f t="shared" si="6"/>
        <v>0</v>
      </c>
      <c r="H27" s="322">
        <f t="shared" si="4"/>
        <v>0</v>
      </c>
      <c r="I27" s="327">
        <f t="shared" si="2"/>
        <v>0</v>
      </c>
      <c r="J27" s="327">
        <f t="shared" si="3"/>
        <v>0</v>
      </c>
      <c r="K27" s="32"/>
    </row>
    <row r="28" spans="1:21" s="36" customFormat="1" ht="15.75" thickBot="1">
      <c r="A28" s="59"/>
      <c r="B28" s="69"/>
      <c r="C28" s="66" t="s">
        <v>83</v>
      </c>
      <c r="D28" s="65">
        <f>SUM(D29:D31)</f>
        <v>0</v>
      </c>
      <c r="E28" s="65">
        <f t="shared" ref="E28:J28" si="12">SUM(E29:E31)</f>
        <v>0</v>
      </c>
      <c r="F28" s="66">
        <f t="shared" si="12"/>
        <v>0</v>
      </c>
      <c r="G28" s="66">
        <f t="shared" si="12"/>
        <v>0</v>
      </c>
      <c r="H28" s="66">
        <f t="shared" si="12"/>
        <v>0</v>
      </c>
      <c r="I28" s="66">
        <f t="shared" si="12"/>
        <v>0</v>
      </c>
      <c r="J28" s="66">
        <f t="shared" si="12"/>
        <v>0</v>
      </c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7"/>
    </row>
    <row r="29" spans="1:21">
      <c r="A29" s="363" t="s">
        <v>84</v>
      </c>
      <c r="B29" s="27" t="s">
        <v>74</v>
      </c>
      <c r="C29" s="22">
        <v>27</v>
      </c>
      <c r="D29" s="89"/>
      <c r="E29" s="89"/>
      <c r="F29" s="23">
        <f t="shared" si="5"/>
        <v>0</v>
      </c>
      <c r="G29" s="23">
        <f t="shared" si="6"/>
        <v>0</v>
      </c>
      <c r="H29" s="318">
        <f t="shared" si="4"/>
        <v>0</v>
      </c>
      <c r="I29" s="325">
        <f t="shared" si="2"/>
        <v>0</v>
      </c>
      <c r="J29" s="325">
        <f t="shared" si="3"/>
        <v>0</v>
      </c>
      <c r="K29" s="32"/>
    </row>
    <row r="30" spans="1:21">
      <c r="A30" s="364"/>
      <c r="B30" s="26" t="s">
        <v>75</v>
      </c>
      <c r="C30" s="35">
        <v>43</v>
      </c>
      <c r="D30" s="90"/>
      <c r="E30" s="90"/>
      <c r="F30" s="20">
        <f t="shared" si="5"/>
        <v>0</v>
      </c>
      <c r="G30" s="20">
        <f t="shared" si="6"/>
        <v>0</v>
      </c>
      <c r="H30" s="321">
        <f t="shared" si="4"/>
        <v>0</v>
      </c>
      <c r="I30" s="326">
        <f t="shared" si="2"/>
        <v>0</v>
      </c>
      <c r="J30" s="326">
        <f t="shared" si="3"/>
        <v>0</v>
      </c>
      <c r="K30" s="32"/>
    </row>
    <row r="31" spans="1:21" ht="15.75" thickBot="1">
      <c r="A31" s="365"/>
      <c r="B31" s="26" t="s">
        <v>76</v>
      </c>
      <c r="C31" s="35">
        <v>75</v>
      </c>
      <c r="D31" s="90"/>
      <c r="E31" s="90"/>
      <c r="F31" s="20">
        <f t="shared" si="5"/>
        <v>0</v>
      </c>
      <c r="G31" s="20">
        <f t="shared" si="6"/>
        <v>0</v>
      </c>
      <c r="H31" s="321">
        <f t="shared" si="4"/>
        <v>0</v>
      </c>
      <c r="I31" s="326">
        <f t="shared" si="2"/>
        <v>0</v>
      </c>
      <c r="J31" s="326">
        <f t="shared" si="3"/>
        <v>0</v>
      </c>
      <c r="K31" s="32"/>
    </row>
    <row r="32" spans="1:21" ht="15.75" thickBot="1">
      <c r="C32" s="32"/>
      <c r="H32" s="32"/>
      <c r="K32" s="33"/>
    </row>
    <row r="33" spans="2:11">
      <c r="B33" s="377" t="s">
        <v>85</v>
      </c>
      <c r="C33" s="86" t="s">
        <v>74</v>
      </c>
      <c r="D33" s="74">
        <f>D29+D25+D21+D17+D13+D9+D5</f>
        <v>21</v>
      </c>
      <c r="E33" s="75">
        <f>E29+E25+E21+E17+E13+E9+E5</f>
        <v>18</v>
      </c>
      <c r="F33" s="83">
        <f>SUM(D33:E33)</f>
        <v>39</v>
      </c>
      <c r="H33" s="32"/>
      <c r="K33" s="33"/>
    </row>
    <row r="34" spans="2:11">
      <c r="B34" s="378"/>
      <c r="C34" s="87" t="s">
        <v>75</v>
      </c>
      <c r="D34" s="76">
        <f t="shared" ref="D34:E35" si="13">D30+D26+D22+D18+D14+D10+D6</f>
        <v>21</v>
      </c>
      <c r="E34" s="77">
        <f t="shared" si="13"/>
        <v>13</v>
      </c>
      <c r="F34" s="84">
        <f t="shared" ref="F34:F35" si="14">SUM(D34:E34)</f>
        <v>34</v>
      </c>
      <c r="H34" s="32"/>
      <c r="K34" s="33"/>
    </row>
    <row r="35" spans="2:11" ht="15.75" thickBot="1">
      <c r="B35" s="379"/>
      <c r="C35" s="88" t="s">
        <v>76</v>
      </c>
      <c r="D35" s="78">
        <f t="shared" si="13"/>
        <v>13</v>
      </c>
      <c r="E35" s="79">
        <f>E31+E27+E23+E19+E15+E11+E7</f>
        <v>7</v>
      </c>
      <c r="F35" s="84">
        <f t="shared" si="14"/>
        <v>20</v>
      </c>
      <c r="H35" s="32"/>
      <c r="K35" s="33"/>
    </row>
    <row r="36" spans="2:11" ht="15.75" thickBot="1">
      <c r="B36" s="80"/>
      <c r="C36" s="37" t="s">
        <v>53</v>
      </c>
      <c r="D36" s="81">
        <f>SUM(D33:D35)</f>
        <v>55</v>
      </c>
      <c r="E36" s="82">
        <f>SUM(E33:E35)</f>
        <v>38</v>
      </c>
      <c r="F36" s="85">
        <f>SUM(F33:F35)</f>
        <v>93</v>
      </c>
      <c r="H36" s="32"/>
      <c r="K36" s="33"/>
    </row>
    <row r="37" spans="2:11">
      <c r="C37" s="32"/>
      <c r="H37" s="32"/>
      <c r="K37" s="33"/>
    </row>
    <row r="38" spans="2:11">
      <c r="C38" s="32"/>
      <c r="H38" s="32"/>
      <c r="K38" s="33"/>
    </row>
    <row r="39" spans="2:11">
      <c r="C39" s="32"/>
      <c r="H39" s="32"/>
      <c r="K39" s="33"/>
    </row>
    <row r="40" spans="2:11">
      <c r="C40" s="32"/>
      <c r="H40" s="32"/>
      <c r="K40" s="33"/>
    </row>
    <row r="41" spans="2:11">
      <c r="C41" s="32"/>
      <c r="H41" s="32"/>
      <c r="K41" s="33"/>
    </row>
    <row r="42" spans="2:11">
      <c r="C42" s="32"/>
      <c r="H42" s="32"/>
      <c r="K42" s="33"/>
    </row>
    <row r="43" spans="2:11">
      <c r="C43" s="32"/>
      <c r="H43" s="32"/>
      <c r="K43" s="33"/>
    </row>
    <row r="44" spans="2:11">
      <c r="C44" s="32"/>
      <c r="H44" s="32"/>
      <c r="K44" s="33"/>
    </row>
    <row r="45" spans="2:11">
      <c r="C45" s="32"/>
      <c r="H45" s="32"/>
      <c r="K45" s="33"/>
    </row>
    <row r="46" spans="2:11">
      <c r="C46" s="32"/>
      <c r="H46" s="32"/>
      <c r="K46" s="33"/>
    </row>
    <row r="47" spans="2:11">
      <c r="C47" s="32"/>
      <c r="H47" s="32"/>
      <c r="K47" s="33"/>
    </row>
    <row r="48" spans="2:11">
      <c r="C48" s="32"/>
      <c r="H48" s="32"/>
      <c r="K48" s="33"/>
    </row>
    <row r="49" spans="3:11">
      <c r="C49" s="32"/>
      <c r="H49" s="32"/>
      <c r="K49" s="33"/>
    </row>
    <row r="50" spans="3:11">
      <c r="C50" s="32"/>
      <c r="H50" s="32"/>
      <c r="K50" s="33"/>
    </row>
    <row r="51" spans="3:11">
      <c r="C51" s="32"/>
      <c r="H51" s="32"/>
      <c r="K51" s="33"/>
    </row>
    <row r="52" spans="3:11">
      <c r="C52" s="32"/>
      <c r="H52" s="32"/>
      <c r="K52" s="33"/>
    </row>
    <row r="53" spans="3:11">
      <c r="C53" s="32"/>
      <c r="H53" s="32"/>
      <c r="K53" s="33"/>
    </row>
    <row r="54" spans="3:11" ht="15.75" thickBot="1">
      <c r="C54" s="32"/>
      <c r="H54" s="32"/>
      <c r="K54" s="34"/>
    </row>
    <row r="55" spans="3:11" ht="15.75" thickTop="1">
      <c r="C55" s="32"/>
      <c r="H55" s="32"/>
    </row>
    <row r="56" spans="3:11">
      <c r="C56" s="32"/>
      <c r="H56" s="32"/>
    </row>
    <row r="57" spans="3:11">
      <c r="C57" s="32"/>
      <c r="H57" s="32"/>
    </row>
    <row r="58" spans="3:11">
      <c r="H58" s="32"/>
    </row>
    <row r="59" spans="3:11">
      <c r="H59" s="32"/>
    </row>
    <row r="60" spans="3:11">
      <c r="H60" s="32"/>
    </row>
    <row r="61" spans="3:11">
      <c r="H61" s="32"/>
    </row>
  </sheetData>
  <mergeCells count="18">
    <mergeCell ref="B33:B35"/>
    <mergeCell ref="A13:A15"/>
    <mergeCell ref="A17:A19"/>
    <mergeCell ref="A21:A23"/>
    <mergeCell ref="A25:A27"/>
    <mergeCell ref="A29:A31"/>
    <mergeCell ref="Q1:S1"/>
    <mergeCell ref="T1:T2"/>
    <mergeCell ref="U1:U2"/>
    <mergeCell ref="A5:A7"/>
    <mergeCell ref="A1:E1"/>
    <mergeCell ref="O1:P1"/>
    <mergeCell ref="A9:A11"/>
    <mergeCell ref="F1:H1"/>
    <mergeCell ref="I1:J1"/>
    <mergeCell ref="K1:L1"/>
    <mergeCell ref="M1:N1"/>
    <mergeCell ref="B3:C3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F7" sqref="F7:J26"/>
    </sheetView>
  </sheetViews>
  <sheetFormatPr defaultColWidth="14.28515625" defaultRowHeight="15"/>
  <cols>
    <col min="1" max="1" width="23.28515625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5" spans="1:19" s="25" customFormat="1" ht="41.45" customHeight="1" thickTop="1" thickBot="1">
      <c r="A5" s="392" t="s">
        <v>86</v>
      </c>
      <c r="B5" s="392"/>
      <c r="C5" s="392"/>
      <c r="D5" s="392"/>
      <c r="E5" s="393"/>
      <c r="F5" s="391" t="s">
        <v>87</v>
      </c>
      <c r="G5" s="391"/>
      <c r="H5" s="391"/>
      <c r="I5" s="391" t="s">
        <v>88</v>
      </c>
      <c r="J5" s="391"/>
      <c r="K5" s="394" t="s">
        <v>59</v>
      </c>
      <c r="L5" s="394"/>
      <c r="M5" s="394" t="s">
        <v>60</v>
      </c>
      <c r="N5" s="394"/>
      <c r="O5" s="394" t="s">
        <v>61</v>
      </c>
      <c r="P5" s="394"/>
      <c r="Q5" s="391" t="s">
        <v>89</v>
      </c>
      <c r="R5" s="391"/>
      <c r="S5" s="391"/>
    </row>
    <row r="6" spans="1:19" s="21" customFormat="1" ht="61.5" thickTop="1" thickBot="1">
      <c r="A6" s="114" t="s">
        <v>90</v>
      </c>
      <c r="B6" s="395" t="s">
        <v>91</v>
      </c>
      <c r="C6" s="395"/>
      <c r="D6" s="143" t="s">
        <v>114</v>
      </c>
      <c r="E6" s="144" t="s">
        <v>115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.75" thickTop="1">
      <c r="A7" s="385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6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>15%*F8</f>
        <v>4622.5</v>
      </c>
      <c r="J8" s="152">
        <f t="shared" ref="J8" si="3">15%*G8</f>
        <v>0</v>
      </c>
      <c r="K8" s="320"/>
      <c r="L8" s="328"/>
      <c r="M8" s="320"/>
      <c r="N8" s="328"/>
      <c r="P8" s="93"/>
      <c r="Q8" s="58"/>
      <c r="S8" s="93"/>
    </row>
    <row r="9" spans="1:19">
      <c r="A9" s="387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ref="I9" si="4">15%*F9</f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>
      <c r="A10" s="147"/>
      <c r="B10" s="148"/>
      <c r="C10" s="172" t="s">
        <v>73</v>
      </c>
      <c r="D10" s="168">
        <f>SUM(D7:D9)</f>
        <v>15</v>
      </c>
      <c r="E10" s="169">
        <f t="shared" ref="E10:G10" si="5">SUM(E7:E9)</f>
        <v>0</v>
      </c>
      <c r="F10" s="170">
        <f>SUM(F7:F9)</f>
        <v>69516.666666666672</v>
      </c>
      <c r="G10" s="171">
        <f t="shared" si="5"/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5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6">15%*G11</f>
        <v>0</v>
      </c>
      <c r="L11" s="93"/>
      <c r="N11" s="93"/>
      <c r="P11" s="93"/>
      <c r="Q11" s="113"/>
      <c r="R11" s="95"/>
      <c r="S11" s="96"/>
    </row>
    <row r="12" spans="1:19">
      <c r="A12" s="386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7">E12*C12*1720/12</f>
        <v>0</v>
      </c>
      <c r="H12" s="165">
        <f t="shared" ref="H12:H13" si="8">F12+G12</f>
        <v>30816.666666666668</v>
      </c>
      <c r="I12" s="163">
        <f t="shared" ref="I12:I25" si="9">15%*F12</f>
        <v>4622.5</v>
      </c>
      <c r="J12" s="152">
        <f t="shared" si="6"/>
        <v>0</v>
      </c>
      <c r="L12" s="93"/>
      <c r="N12" s="93"/>
      <c r="P12" s="93"/>
      <c r="Q12" s="95"/>
      <c r="R12" s="95"/>
      <c r="S12" s="96"/>
    </row>
    <row r="13" spans="1:19">
      <c r="A13" s="387"/>
      <c r="B13" s="135" t="s">
        <v>76</v>
      </c>
      <c r="C13" s="212">
        <v>75</v>
      </c>
      <c r="D13" s="217"/>
      <c r="E13" s="218"/>
      <c r="F13" s="163">
        <f t="shared" ref="F13" si="10">D13*C13*1720/12</f>
        <v>0</v>
      </c>
      <c r="G13" s="164">
        <f t="shared" si="7"/>
        <v>0</v>
      </c>
      <c r="H13" s="165">
        <f t="shared" si="8"/>
        <v>0</v>
      </c>
      <c r="I13" s="163">
        <f t="shared" si="9"/>
        <v>0</v>
      </c>
      <c r="J13" s="152">
        <f t="shared" si="6"/>
        <v>0</v>
      </c>
      <c r="L13" s="93"/>
      <c r="N13" s="93"/>
      <c r="P13" s="93"/>
      <c r="Q13" s="95"/>
      <c r="R13" s="95"/>
      <c r="S13" s="96"/>
    </row>
    <row r="14" spans="1:19" s="36" customFormat="1">
      <c r="A14" s="147"/>
      <c r="B14" s="148"/>
      <c r="C14" s="172" t="s">
        <v>77</v>
      </c>
      <c r="D14" s="168">
        <f>SUM(D11:D13)</f>
        <v>5</v>
      </c>
      <c r="E14" s="169">
        <f t="shared" ref="E14" si="11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2">SUM(I11:I13)</f>
        <v>4622.5</v>
      </c>
      <c r="J14" s="167">
        <f t="shared" si="12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5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9"/>
        <v>2902.5</v>
      </c>
      <c r="J15" s="152">
        <f t="shared" si="6"/>
        <v>0</v>
      </c>
      <c r="L15" s="93"/>
      <c r="N15" s="93"/>
      <c r="P15" s="93"/>
      <c r="Q15" s="95"/>
      <c r="R15" s="95"/>
      <c r="S15" s="96"/>
    </row>
    <row r="16" spans="1:19">
      <c r="A16" s="386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3">E16*C16*1720/12</f>
        <v>0</v>
      </c>
      <c r="H16" s="165">
        <f t="shared" ref="H16:H17" si="14">F16+G16</f>
        <v>30816.666666666668</v>
      </c>
      <c r="I16" s="163">
        <f t="shared" si="9"/>
        <v>4622.5</v>
      </c>
      <c r="J16" s="152">
        <f t="shared" si="6"/>
        <v>0</v>
      </c>
      <c r="L16" s="93"/>
      <c r="N16" s="93"/>
      <c r="P16" s="93"/>
      <c r="Q16" s="95"/>
      <c r="R16" s="95"/>
      <c r="S16" s="96"/>
    </row>
    <row r="17" spans="1:19">
      <c r="A17" s="387"/>
      <c r="B17" s="135" t="s">
        <v>76</v>
      </c>
      <c r="C17" s="212">
        <v>75</v>
      </c>
      <c r="D17" s="217">
        <v>7</v>
      </c>
      <c r="E17" s="218"/>
      <c r="F17" s="163">
        <f t="shared" ref="F17" si="15">D17*C17*1720/12</f>
        <v>75250</v>
      </c>
      <c r="G17" s="164">
        <f t="shared" si="13"/>
        <v>0</v>
      </c>
      <c r="H17" s="165">
        <f t="shared" si="14"/>
        <v>75250</v>
      </c>
      <c r="I17" s="163">
        <f t="shared" si="9"/>
        <v>11287.5</v>
      </c>
      <c r="J17" s="152">
        <f t="shared" si="6"/>
        <v>0</v>
      </c>
      <c r="L17" s="93"/>
      <c r="N17" s="93"/>
      <c r="P17" s="93"/>
      <c r="Q17" s="95"/>
      <c r="R17" s="95"/>
      <c r="S17" s="96"/>
    </row>
    <row r="18" spans="1:19" s="36" customFormat="1" ht="15.7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6">SUM(E15:E17)</f>
        <v>0</v>
      </c>
      <c r="F18" s="170">
        <f t="shared" si="16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" si="17">SUM(I15:I17)</f>
        <v>18812.5</v>
      </c>
      <c r="J18" s="167">
        <f t="shared" ref="J18" si="18">SUM(J15:J17)</f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5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9"/>
        <v>3483</v>
      </c>
      <c r="J19" s="200">
        <f t="shared" si="6"/>
        <v>0</v>
      </c>
      <c r="L19" s="93"/>
      <c r="N19" s="93"/>
      <c r="P19" s="93"/>
      <c r="Q19" s="95"/>
      <c r="R19" s="95"/>
      <c r="S19" s="96"/>
    </row>
    <row r="20" spans="1:19">
      <c r="A20" s="386"/>
      <c r="B20" s="134" t="s">
        <v>75</v>
      </c>
      <c r="C20" s="211">
        <v>43</v>
      </c>
      <c r="D20" s="215">
        <v>6</v>
      </c>
      <c r="E20" s="216"/>
      <c r="F20" s="149">
        <f t="shared" ref="F20:F25" si="19">D20*C20*1720/12</f>
        <v>36980</v>
      </c>
      <c r="G20" s="164">
        <f t="shared" ref="G20:G21" si="20">E20*C20*1720/12</f>
        <v>0</v>
      </c>
      <c r="H20" s="152">
        <f t="shared" ref="H20:H21" si="21">F20+G20</f>
        <v>36980</v>
      </c>
      <c r="I20" s="163">
        <f t="shared" si="9"/>
        <v>5547</v>
      </c>
      <c r="J20" s="152">
        <f t="shared" si="6"/>
        <v>0</v>
      </c>
      <c r="L20" s="93"/>
      <c r="N20" s="93"/>
      <c r="P20" s="93"/>
      <c r="Q20" s="95"/>
      <c r="R20" s="95"/>
      <c r="S20" s="96"/>
    </row>
    <row r="21" spans="1:19" ht="15.75" thickBot="1">
      <c r="A21" s="387"/>
      <c r="B21" s="135" t="s">
        <v>76</v>
      </c>
      <c r="C21" s="212">
        <v>75</v>
      </c>
      <c r="D21" s="217">
        <v>6</v>
      </c>
      <c r="E21" s="218"/>
      <c r="F21" s="149">
        <f t="shared" si="19"/>
        <v>64500</v>
      </c>
      <c r="G21" s="164">
        <f t="shared" si="20"/>
        <v>0</v>
      </c>
      <c r="H21" s="152">
        <f t="shared" si="21"/>
        <v>64500</v>
      </c>
      <c r="I21" s="163">
        <f t="shared" si="9"/>
        <v>9675</v>
      </c>
      <c r="J21" s="152">
        <f t="shared" si="6"/>
        <v>0</v>
      </c>
      <c r="L21" s="93"/>
      <c r="N21" s="93"/>
      <c r="P21" s="93"/>
      <c r="Q21" s="95"/>
      <c r="R21" s="95"/>
      <c r="S21" s="96"/>
    </row>
    <row r="22" spans="1:19" s="36" customFormat="1" ht="15.7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2">SUM(E19:E21)</f>
        <v>0</v>
      </c>
      <c r="F22" s="170">
        <f t="shared" si="22"/>
        <v>124700</v>
      </c>
      <c r="G22" s="171">
        <f t="shared" si="22"/>
        <v>0</v>
      </c>
      <c r="H22" s="167">
        <f>SUM(H19:H21)</f>
        <v>124700</v>
      </c>
      <c r="I22" s="170">
        <f>SUM(I19:I21)</f>
        <v>18705</v>
      </c>
      <c r="J22" s="167">
        <f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5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9"/>
        <v>0</v>
      </c>
      <c r="G23" s="164">
        <f>E23*C23*1720/12</f>
        <v>58050</v>
      </c>
      <c r="H23" s="331">
        <f>(F23+G23)</f>
        <v>58050</v>
      </c>
      <c r="I23" s="163">
        <f t="shared" si="9"/>
        <v>0</v>
      </c>
      <c r="J23" s="152">
        <f t="shared" si="6"/>
        <v>8707.5</v>
      </c>
      <c r="L23" s="93"/>
      <c r="N23" s="93"/>
      <c r="P23" s="93"/>
      <c r="Q23" s="95"/>
      <c r="R23" s="95"/>
      <c r="S23" s="96"/>
    </row>
    <row r="24" spans="1:19">
      <c r="A24" s="386"/>
      <c r="B24" s="134" t="s">
        <v>75</v>
      </c>
      <c r="C24" s="211">
        <v>43</v>
      </c>
      <c r="D24" s="215"/>
      <c r="E24" s="216">
        <v>13</v>
      </c>
      <c r="F24" s="149">
        <f t="shared" si="19"/>
        <v>0</v>
      </c>
      <c r="G24" s="164">
        <f t="shared" ref="G24:G25" si="23">E24*C24*1720/12</f>
        <v>80123.333333333328</v>
      </c>
      <c r="H24" s="332">
        <f t="shared" ref="H24:H25" si="24">(F24+G24)</f>
        <v>80123.333333333328</v>
      </c>
      <c r="I24" s="163">
        <f t="shared" si="9"/>
        <v>0</v>
      </c>
      <c r="J24" s="152">
        <f t="shared" si="6"/>
        <v>12018.499999999998</v>
      </c>
      <c r="L24" s="93"/>
      <c r="N24" s="93"/>
      <c r="P24" s="93"/>
      <c r="Q24" s="95"/>
      <c r="R24" s="95"/>
      <c r="S24" s="96"/>
    </row>
    <row r="25" spans="1:19" ht="15.75" thickBot="1">
      <c r="A25" s="387"/>
      <c r="B25" s="135" t="s">
        <v>76</v>
      </c>
      <c r="C25" s="212">
        <v>75</v>
      </c>
      <c r="D25" s="217"/>
      <c r="E25" s="218">
        <v>7</v>
      </c>
      <c r="F25" s="149">
        <f t="shared" si="19"/>
        <v>0</v>
      </c>
      <c r="G25" s="164">
        <f t="shared" si="23"/>
        <v>75250</v>
      </c>
      <c r="H25" s="333">
        <f t="shared" si="24"/>
        <v>75250</v>
      </c>
      <c r="I25" s="163">
        <f t="shared" si="9"/>
        <v>0</v>
      </c>
      <c r="J25" s="152">
        <f t="shared" si="6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" si="25">SUM(E23:E25)</f>
        <v>35</v>
      </c>
      <c r="F26" s="170">
        <f t="shared" ref="F26" si="26">SUM(F23:F25)</f>
        <v>0</v>
      </c>
      <c r="G26" s="171">
        <f t="shared" ref="G26" si="27">SUM(G23:G25)</f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5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5" thickBot="1">
      <c r="A28" s="388" t="s">
        <v>92</v>
      </c>
      <c r="B28" s="389"/>
      <c r="C28" s="390"/>
      <c r="D28" s="173">
        <f>D10+D14+D18+D22+D26</f>
        <v>55</v>
      </c>
      <c r="E28" s="204">
        <f>E10+E14+E18+E22+E26</f>
        <v>35</v>
      </c>
      <c r="F28" s="174">
        <f>F10+F14+F18+F22+F26</f>
        <v>350450</v>
      </c>
      <c r="G28" s="174">
        <f t="shared" ref="G28" si="28">G10+G14+G18+G22+G26</f>
        <v>213423.33333333331</v>
      </c>
      <c r="H28" s="206">
        <f>H10+H14+H18+H22+H26</f>
        <v>563873.33333333326</v>
      </c>
      <c r="I28" s="174">
        <f>I10+I14+I18+I22+I26</f>
        <v>52567.5</v>
      </c>
      <c r="J28" s="198">
        <f>J10+J14+J18+J22+J26</f>
        <v>32013.5</v>
      </c>
      <c r="K28" s="220">
        <v>1000</v>
      </c>
      <c r="L28" s="220">
        <v>1000</v>
      </c>
      <c r="M28" s="208">
        <f t="shared" ref="M28:P28" si="29">M10+M14+M18+M22+M26</f>
        <v>0</v>
      </c>
      <c r="N28" s="206">
        <f t="shared" si="29"/>
        <v>0</v>
      </c>
      <c r="O28" s="175">
        <f t="shared" si="29"/>
        <v>0</v>
      </c>
      <c r="P28" s="206">
        <f t="shared" si="29"/>
        <v>0</v>
      </c>
      <c r="Q28" s="314">
        <f>Q10+Q14+Q18+Q22+Q26+K28</f>
        <v>404017.5</v>
      </c>
      <c r="R28" s="314">
        <f>R10+R14+R18+R22+R26+L28</f>
        <v>246436.83333333331</v>
      </c>
      <c r="S28" s="315">
        <f>S10+S14+S18+S22+S26+K28+L28</f>
        <v>650454.33333333326</v>
      </c>
    </row>
    <row r="29" spans="1:19" ht="15.7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0" t="s">
        <v>93</v>
      </c>
      <c r="B30" s="381"/>
      <c r="C30" s="230">
        <f>65%*Q28+40%*R28</f>
        <v>361186.10833333334</v>
      </c>
      <c r="K30" s="33"/>
    </row>
    <row r="31" spans="1:19" ht="15.75" thickTop="1">
      <c r="C31" s="32"/>
      <c r="H31" s="32"/>
      <c r="K31" s="33"/>
    </row>
    <row r="32" spans="1:19" ht="15.75" thickBot="1">
      <c r="H32" s="32"/>
      <c r="K32" s="33"/>
    </row>
    <row r="33" spans="1:11" ht="16.5" thickTop="1" thickBot="1">
      <c r="A33" s="382" t="s">
        <v>85</v>
      </c>
      <c r="B33" s="231" t="s">
        <v>74</v>
      </c>
      <c r="C33" s="235">
        <f t="shared" ref="C33:D35" si="30">D23+D19+D15+D11+D7</f>
        <v>21</v>
      </c>
      <c r="D33" s="235">
        <f t="shared" si="30"/>
        <v>15</v>
      </c>
      <c r="E33" s="235">
        <f>SUM(C33:D33)</f>
        <v>36</v>
      </c>
      <c r="H33" s="32"/>
      <c r="K33" s="33"/>
    </row>
    <row r="34" spans="1:11" ht="16.5" thickTop="1" thickBot="1">
      <c r="A34" s="383"/>
      <c r="B34" s="232" t="s">
        <v>75</v>
      </c>
      <c r="C34" s="235">
        <f t="shared" si="30"/>
        <v>21</v>
      </c>
      <c r="D34" s="235">
        <f t="shared" si="30"/>
        <v>13</v>
      </c>
      <c r="E34" s="235">
        <f t="shared" ref="E34:E35" si="31">SUM(C34:D34)</f>
        <v>34</v>
      </c>
      <c r="H34" s="32"/>
      <c r="K34" s="33"/>
    </row>
    <row r="35" spans="1:11" ht="16.5" thickTop="1" thickBot="1">
      <c r="A35" s="384"/>
      <c r="B35" s="233" t="s">
        <v>76</v>
      </c>
      <c r="C35" s="235">
        <f t="shared" si="30"/>
        <v>13</v>
      </c>
      <c r="D35" s="235">
        <f t="shared" si="30"/>
        <v>7</v>
      </c>
      <c r="E35" s="235">
        <f t="shared" si="31"/>
        <v>20</v>
      </c>
      <c r="H35" s="32"/>
      <c r="K35" s="33"/>
    </row>
    <row r="36" spans="1:11" ht="16.5" thickTop="1" thickBot="1">
      <c r="A36" s="249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 ht="15.75" thickTop="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.75" thickBot="1">
      <c r="C42" s="32"/>
      <c r="H42" s="32"/>
      <c r="K42" s="34"/>
    </row>
    <row r="43" spans="1:1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  <mergeCell ref="A30:B30"/>
    <mergeCell ref="A33:A35"/>
    <mergeCell ref="A15:A17"/>
    <mergeCell ref="A19:A21"/>
    <mergeCell ref="A23:A25"/>
    <mergeCell ref="A28:C28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9"/>
  <sheetViews>
    <sheetView zoomScaleNormal="100" workbookViewId="0">
      <pane xSplit="1" ySplit="6" topLeftCell="J7" activePane="bottomRight" state="frozen"/>
      <selection pane="topRight" activeCell="B1" sqref="B1"/>
      <selection pane="bottomLeft" activeCell="A3" sqref="A3"/>
      <selection pane="bottomRight" activeCell="H39" sqref="H39"/>
    </sheetView>
  </sheetViews>
  <sheetFormatPr defaultColWidth="14.28515625" defaultRowHeight="1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4" spans="1:19" ht="15.75" thickBot="1"/>
    <row r="5" spans="1:19" s="25" customFormat="1" ht="41.45" customHeight="1" thickTop="1" thickBot="1">
      <c r="A5" s="392" t="s">
        <v>94</v>
      </c>
      <c r="B5" s="392"/>
      <c r="C5" s="392"/>
      <c r="D5" s="392"/>
      <c r="E5" s="393"/>
      <c r="F5" s="391" t="s">
        <v>87</v>
      </c>
      <c r="G5" s="391"/>
      <c r="H5" s="391"/>
      <c r="I5" s="391" t="s">
        <v>88</v>
      </c>
      <c r="J5" s="391"/>
      <c r="K5" s="394" t="s">
        <v>59</v>
      </c>
      <c r="L5" s="394"/>
      <c r="M5" s="394" t="s">
        <v>60</v>
      </c>
      <c r="N5" s="394"/>
      <c r="O5" s="394" t="s">
        <v>61</v>
      </c>
      <c r="P5" s="394"/>
      <c r="Q5" s="391" t="s">
        <v>89</v>
      </c>
      <c r="R5" s="391"/>
      <c r="S5" s="391"/>
    </row>
    <row r="6" spans="1:19" s="21" customFormat="1" ht="61.5" thickTop="1" thickBot="1">
      <c r="A6" s="114" t="s">
        <v>90</v>
      </c>
      <c r="B6" s="395" t="s">
        <v>91</v>
      </c>
      <c r="C6" s="395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.75" thickTop="1">
      <c r="A7" s="385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6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 t="shared" ref="I8:J9" si="3">15%*F8</f>
        <v>4622.5</v>
      </c>
      <c r="J8" s="152">
        <f t="shared" si="3"/>
        <v>0</v>
      </c>
      <c r="K8" s="320"/>
      <c r="L8" s="328"/>
      <c r="M8" s="320"/>
      <c r="N8" s="328"/>
      <c r="P8" s="93"/>
      <c r="Q8" s="58"/>
      <c r="S8" s="93"/>
    </row>
    <row r="9" spans="1:19" ht="15.75" thickBot="1">
      <c r="A9" s="387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si="3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.75" thickBot="1">
      <c r="A10" s="147"/>
      <c r="B10" s="148"/>
      <c r="C10" s="172" t="s">
        <v>73</v>
      </c>
      <c r="D10" s="168">
        <f>SUM(D7:D9)</f>
        <v>15</v>
      </c>
      <c r="E10" s="169">
        <f t="shared" ref="E10:G10" si="4">SUM(E7:E9)</f>
        <v>0</v>
      </c>
      <c r="F10" s="170">
        <f>SUM(F7:F9)</f>
        <v>69516.666666666672</v>
      </c>
      <c r="G10" s="171">
        <f t="shared" si="4"/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5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5">15%*G11</f>
        <v>0</v>
      </c>
      <c r="L11" s="93"/>
      <c r="N11" s="93"/>
      <c r="P11" s="93"/>
      <c r="Q11" s="113"/>
      <c r="R11" s="95"/>
      <c r="S11" s="96"/>
    </row>
    <row r="12" spans="1:19">
      <c r="A12" s="386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6">E12*C12*1720/12</f>
        <v>0</v>
      </c>
      <c r="H12" s="165">
        <f t="shared" ref="H12:H13" si="7">F12+G12</f>
        <v>30816.666666666668</v>
      </c>
      <c r="I12" s="163">
        <f t="shared" ref="I12:I25" si="8">15%*F12</f>
        <v>4622.5</v>
      </c>
      <c r="J12" s="152">
        <f t="shared" si="5"/>
        <v>0</v>
      </c>
      <c r="L12" s="93"/>
      <c r="N12" s="93"/>
      <c r="P12" s="93"/>
      <c r="Q12" s="95"/>
      <c r="R12" s="95"/>
      <c r="S12" s="96"/>
    </row>
    <row r="13" spans="1:19" ht="15.75" thickBot="1">
      <c r="A13" s="387"/>
      <c r="B13" s="135" t="s">
        <v>76</v>
      </c>
      <c r="C13" s="212">
        <v>75</v>
      </c>
      <c r="D13" s="217"/>
      <c r="E13" s="218"/>
      <c r="F13" s="163">
        <f t="shared" ref="F13" si="9">D13*C13*1720/12</f>
        <v>0</v>
      </c>
      <c r="G13" s="164">
        <f t="shared" si="6"/>
        <v>0</v>
      </c>
      <c r="H13" s="165">
        <f t="shared" si="7"/>
        <v>0</v>
      </c>
      <c r="I13" s="163">
        <f t="shared" si="8"/>
        <v>0</v>
      </c>
      <c r="J13" s="152">
        <f t="shared" si="5"/>
        <v>0</v>
      </c>
      <c r="L13" s="93"/>
      <c r="N13" s="93"/>
      <c r="P13" s="93"/>
      <c r="Q13" s="95"/>
      <c r="R13" s="95"/>
      <c r="S13" s="96"/>
    </row>
    <row r="14" spans="1:19" s="36" customFormat="1" ht="15.75" thickBot="1">
      <c r="A14" s="147"/>
      <c r="B14" s="148"/>
      <c r="C14" s="172" t="s">
        <v>77</v>
      </c>
      <c r="D14" s="168">
        <f>SUM(D11:D13)</f>
        <v>5</v>
      </c>
      <c r="E14" s="169">
        <f t="shared" ref="E14" si="10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1">SUM(I11:I13)</f>
        <v>4622.5</v>
      </c>
      <c r="J14" s="167">
        <f t="shared" si="11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5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8"/>
        <v>2902.5</v>
      </c>
      <c r="J15" s="152">
        <f t="shared" si="5"/>
        <v>0</v>
      </c>
      <c r="L15" s="93"/>
      <c r="N15" s="93"/>
      <c r="P15" s="93"/>
      <c r="Q15" s="95"/>
      <c r="R15" s="95"/>
      <c r="S15" s="96"/>
    </row>
    <row r="16" spans="1:19">
      <c r="A16" s="386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2">E16*C16*1720/12</f>
        <v>0</v>
      </c>
      <c r="H16" s="165">
        <f t="shared" ref="H16:H17" si="13">F16+G16</f>
        <v>30816.666666666668</v>
      </c>
      <c r="I16" s="163">
        <f t="shared" si="8"/>
        <v>4622.5</v>
      </c>
      <c r="J16" s="152">
        <f t="shared" si="5"/>
        <v>0</v>
      </c>
      <c r="L16" s="93"/>
      <c r="N16" s="93"/>
      <c r="P16" s="93"/>
      <c r="Q16" s="95"/>
      <c r="R16" s="95"/>
      <c r="S16" s="96"/>
    </row>
    <row r="17" spans="1:19" ht="15.75" thickBot="1">
      <c r="A17" s="387"/>
      <c r="B17" s="135" t="s">
        <v>76</v>
      </c>
      <c r="C17" s="212">
        <v>75</v>
      </c>
      <c r="D17" s="217">
        <v>7</v>
      </c>
      <c r="E17" s="218"/>
      <c r="F17" s="163">
        <f t="shared" ref="F17" si="14">D17*C17*1720/12</f>
        <v>75250</v>
      </c>
      <c r="G17" s="164">
        <f t="shared" si="12"/>
        <v>0</v>
      </c>
      <c r="H17" s="165">
        <f t="shared" si="13"/>
        <v>75250</v>
      </c>
      <c r="I17" s="163">
        <f t="shared" si="8"/>
        <v>11287.5</v>
      </c>
      <c r="J17" s="152">
        <f t="shared" si="5"/>
        <v>0</v>
      </c>
      <c r="L17" s="93"/>
      <c r="N17" s="93"/>
      <c r="P17" s="93"/>
      <c r="Q17" s="95"/>
      <c r="R17" s="95"/>
      <c r="S17" s="96"/>
    </row>
    <row r="18" spans="1:19" s="36" customFormat="1" ht="15.7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5">SUM(E15:E17)</f>
        <v>0</v>
      </c>
      <c r="F18" s="170">
        <f t="shared" si="15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:J18" si="16">SUM(I15:I17)</f>
        <v>18812.5</v>
      </c>
      <c r="J18" s="167">
        <f t="shared" si="16"/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5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8"/>
        <v>3483</v>
      </c>
      <c r="J19" s="200">
        <f t="shared" si="5"/>
        <v>0</v>
      </c>
      <c r="L19" s="93"/>
      <c r="N19" s="93"/>
      <c r="P19" s="93"/>
      <c r="Q19" s="95"/>
      <c r="R19" s="95"/>
      <c r="S19" s="96"/>
    </row>
    <row r="20" spans="1:19">
      <c r="A20" s="386"/>
      <c r="B20" s="134" t="s">
        <v>75</v>
      </c>
      <c r="C20" s="211">
        <v>43</v>
      </c>
      <c r="D20" s="215">
        <v>6</v>
      </c>
      <c r="E20" s="216"/>
      <c r="F20" s="149">
        <f t="shared" ref="F20:F25" si="17">D20*C20*1720/12</f>
        <v>36980</v>
      </c>
      <c r="G20" s="164">
        <f t="shared" ref="G20:G21" si="18">E20*C20*1720/12</f>
        <v>0</v>
      </c>
      <c r="H20" s="152">
        <f t="shared" ref="H20:H21" si="19">F20+G20</f>
        <v>36980</v>
      </c>
      <c r="I20" s="163">
        <f t="shared" si="8"/>
        <v>5547</v>
      </c>
      <c r="J20" s="152">
        <f t="shared" si="5"/>
        <v>0</v>
      </c>
      <c r="L20" s="93"/>
      <c r="N20" s="93"/>
      <c r="P20" s="93"/>
      <c r="Q20" s="95"/>
      <c r="R20" s="95"/>
      <c r="S20" s="96"/>
    </row>
    <row r="21" spans="1:19" ht="15.75" thickBot="1">
      <c r="A21" s="387"/>
      <c r="B21" s="135" t="s">
        <v>76</v>
      </c>
      <c r="C21" s="212">
        <v>75</v>
      </c>
      <c r="D21" s="217">
        <v>6</v>
      </c>
      <c r="E21" s="218"/>
      <c r="F21" s="149">
        <f t="shared" si="17"/>
        <v>64500</v>
      </c>
      <c r="G21" s="164">
        <f t="shared" si="18"/>
        <v>0</v>
      </c>
      <c r="H21" s="152">
        <f t="shared" si="19"/>
        <v>64500</v>
      </c>
      <c r="I21" s="163">
        <f t="shared" si="8"/>
        <v>9675</v>
      </c>
      <c r="J21" s="152">
        <f t="shared" si="5"/>
        <v>0</v>
      </c>
      <c r="L21" s="93"/>
      <c r="N21" s="93"/>
      <c r="P21" s="93"/>
      <c r="Q21" s="95"/>
      <c r="R21" s="95"/>
      <c r="S21" s="96"/>
    </row>
    <row r="22" spans="1:19" s="36" customFormat="1" ht="15.7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0">SUM(E19:E21)</f>
        <v>0</v>
      </c>
      <c r="F22" s="170">
        <f t="shared" si="20"/>
        <v>124700</v>
      </c>
      <c r="G22" s="171">
        <f t="shared" si="20"/>
        <v>0</v>
      </c>
      <c r="H22" s="167">
        <f>SUM(H19:H21)</f>
        <v>124700</v>
      </c>
      <c r="I22" s="170">
        <f>SUM(I19:I21)</f>
        <v>18705</v>
      </c>
      <c r="J22" s="167">
        <f t="shared" ref="J22" si="21"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5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7"/>
        <v>0</v>
      </c>
      <c r="G23" s="164">
        <f>E23*C23*1720/12</f>
        <v>58050</v>
      </c>
      <c r="H23" s="331">
        <f>(F23+G23)</f>
        <v>58050</v>
      </c>
      <c r="I23" s="163">
        <f t="shared" si="8"/>
        <v>0</v>
      </c>
      <c r="J23" s="152">
        <f t="shared" si="5"/>
        <v>8707.5</v>
      </c>
      <c r="L23" s="93"/>
      <c r="N23" s="93"/>
      <c r="P23" s="93"/>
      <c r="Q23" s="95"/>
      <c r="R23" s="95"/>
      <c r="S23" s="96"/>
    </row>
    <row r="24" spans="1:19">
      <c r="A24" s="386"/>
      <c r="B24" s="134" t="s">
        <v>75</v>
      </c>
      <c r="C24" s="211">
        <v>43</v>
      </c>
      <c r="D24" s="215"/>
      <c r="E24" s="216">
        <v>13</v>
      </c>
      <c r="F24" s="149">
        <f t="shared" si="17"/>
        <v>0</v>
      </c>
      <c r="G24" s="164">
        <f t="shared" ref="G24:G25" si="22">E24*C24*1720/12</f>
        <v>80123.333333333328</v>
      </c>
      <c r="H24" s="332">
        <f t="shared" ref="H24:H25" si="23">(F24+G24)</f>
        <v>80123.333333333328</v>
      </c>
      <c r="I24" s="163">
        <f t="shared" si="8"/>
        <v>0</v>
      </c>
      <c r="J24" s="152">
        <f t="shared" si="5"/>
        <v>12018.499999999998</v>
      </c>
      <c r="L24" s="93"/>
      <c r="N24" s="93"/>
      <c r="P24" s="93"/>
      <c r="Q24" s="95"/>
      <c r="R24" s="95"/>
      <c r="S24" s="96"/>
    </row>
    <row r="25" spans="1:19" ht="15.75" thickBot="1">
      <c r="A25" s="387"/>
      <c r="B25" s="135" t="s">
        <v>76</v>
      </c>
      <c r="C25" s="212">
        <v>75</v>
      </c>
      <c r="D25" s="217"/>
      <c r="E25" s="218">
        <v>7</v>
      </c>
      <c r="F25" s="149">
        <f t="shared" si="17"/>
        <v>0</v>
      </c>
      <c r="G25" s="164">
        <f t="shared" si="22"/>
        <v>75250</v>
      </c>
      <c r="H25" s="333">
        <f t="shared" si="23"/>
        <v>75250</v>
      </c>
      <c r="I25" s="163">
        <f t="shared" si="8"/>
        <v>0</v>
      </c>
      <c r="J25" s="152">
        <f t="shared" si="5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24">SUM(E23:E25)</f>
        <v>35</v>
      </c>
      <c r="F26" s="170">
        <f t="shared" si="24"/>
        <v>0</v>
      </c>
      <c r="G26" s="171">
        <f t="shared" si="24"/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5" thickBot="1">
      <c r="A28" s="388" t="s">
        <v>92</v>
      </c>
      <c r="B28" s="389"/>
      <c r="C28" s="390"/>
      <c r="D28" s="173">
        <f>D10+D14+D18+D22+D26</f>
        <v>55</v>
      </c>
      <c r="E28" s="204">
        <f>E10+E14+E18+E22+E26</f>
        <v>35</v>
      </c>
      <c r="F28" s="174">
        <f>F10+F14+F18+F22+F26</f>
        <v>350450</v>
      </c>
      <c r="G28" s="174">
        <f t="shared" ref="G28" si="25">G10+G14+G18+G22+G26</f>
        <v>213423.33333333331</v>
      </c>
      <c r="H28" s="206">
        <f>H10+H14+H18+H22+H26</f>
        <v>563873.33333333326</v>
      </c>
      <c r="I28" s="174">
        <f>I10+I14+I18+I22+I26</f>
        <v>52567.5</v>
      </c>
      <c r="J28" s="198">
        <f>J10+J14+J18+J22+J26</f>
        <v>32013.5</v>
      </c>
      <c r="K28" s="220">
        <v>1000</v>
      </c>
      <c r="L28" s="220">
        <v>1000</v>
      </c>
      <c r="M28" s="208">
        <f t="shared" ref="M28:P28" si="26">M10+M14+M18+M22+M26</f>
        <v>0</v>
      </c>
      <c r="N28" s="206">
        <f t="shared" si="26"/>
        <v>0</v>
      </c>
      <c r="O28" s="175">
        <f t="shared" si="26"/>
        <v>0</v>
      </c>
      <c r="P28" s="206">
        <f t="shared" si="26"/>
        <v>0</v>
      </c>
      <c r="Q28" s="174">
        <f>Q10+Q14+Q18+Q22+Q26+K28</f>
        <v>404017.5</v>
      </c>
      <c r="R28" s="174">
        <f>R10+R14+R18+R22+R26+L28</f>
        <v>246436.83333333331</v>
      </c>
      <c r="S28" s="206">
        <f>S10+S14+S18+S22+S26+K28+L28</f>
        <v>650454.33333333326</v>
      </c>
    </row>
    <row r="29" spans="1:19" ht="15.7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0" t="s">
        <v>93</v>
      </c>
      <c r="B30" s="381"/>
      <c r="C30" s="230">
        <f>75%*Q28+50%*R28</f>
        <v>426231.54166666663</v>
      </c>
      <c r="K30" s="33"/>
    </row>
    <row r="31" spans="1:19" ht="15.75" thickTop="1">
      <c r="C31" s="32"/>
      <c r="H31" s="32"/>
      <c r="K31" s="33"/>
    </row>
    <row r="32" spans="1:19" ht="15.75" thickBot="1">
      <c r="H32" s="32"/>
      <c r="K32" s="33"/>
    </row>
    <row r="33" spans="1:11" ht="16.5" thickTop="1" thickBot="1">
      <c r="A33" s="382" t="s">
        <v>85</v>
      </c>
      <c r="B33" s="231" t="s">
        <v>74</v>
      </c>
      <c r="C33" s="235">
        <f t="shared" ref="C33:D35" si="27">D23+D19+D15+D11+D7</f>
        <v>21</v>
      </c>
      <c r="D33" s="235">
        <f t="shared" si="27"/>
        <v>15</v>
      </c>
      <c r="E33" s="235">
        <f>SUM(C33:D33)</f>
        <v>36</v>
      </c>
      <c r="H33" s="32"/>
      <c r="K33" s="33"/>
    </row>
    <row r="34" spans="1:11" ht="16.5" thickTop="1" thickBot="1">
      <c r="A34" s="383"/>
      <c r="B34" s="232" t="s">
        <v>75</v>
      </c>
      <c r="C34" s="235">
        <f t="shared" si="27"/>
        <v>21</v>
      </c>
      <c r="D34" s="235">
        <f t="shared" si="27"/>
        <v>13</v>
      </c>
      <c r="E34" s="235">
        <f t="shared" ref="E34:E35" si="28">SUM(C34:D34)</f>
        <v>34</v>
      </c>
      <c r="H34" s="32"/>
      <c r="K34" s="33"/>
    </row>
    <row r="35" spans="1:11" ht="16.5" thickTop="1" thickBot="1">
      <c r="A35" s="384"/>
      <c r="B35" s="233" t="s">
        <v>76</v>
      </c>
      <c r="C35" s="235">
        <f t="shared" si="27"/>
        <v>13</v>
      </c>
      <c r="D35" s="235">
        <f t="shared" si="27"/>
        <v>7</v>
      </c>
      <c r="E35" s="235">
        <f t="shared" si="28"/>
        <v>20</v>
      </c>
      <c r="H35" s="32"/>
      <c r="K35" s="33"/>
    </row>
    <row r="36" spans="1:11" ht="16.5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.75" thickBot="1">
      <c r="C42" s="32"/>
      <c r="H42" s="32"/>
      <c r="K42" s="34"/>
    </row>
    <row r="43" spans="1:11" ht="15.7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ColWidth="14.28515625" defaultRowHeight="1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5" spans="1:19" s="25" customFormat="1" ht="41.45" customHeight="1" thickTop="1" thickBot="1">
      <c r="A5" s="392" t="s">
        <v>94</v>
      </c>
      <c r="B5" s="392"/>
      <c r="C5" s="392"/>
      <c r="D5" s="392"/>
      <c r="E5" s="393"/>
      <c r="F5" s="391" t="s">
        <v>87</v>
      </c>
      <c r="G5" s="391"/>
      <c r="H5" s="391"/>
      <c r="I5" s="391" t="s">
        <v>88</v>
      </c>
      <c r="J5" s="391"/>
      <c r="K5" s="394" t="s">
        <v>59</v>
      </c>
      <c r="L5" s="394"/>
      <c r="M5" s="394" t="s">
        <v>60</v>
      </c>
      <c r="N5" s="394"/>
      <c r="O5" s="394" t="s">
        <v>61</v>
      </c>
      <c r="P5" s="394"/>
      <c r="Q5" s="391" t="s">
        <v>89</v>
      </c>
      <c r="R5" s="391"/>
      <c r="S5" s="391"/>
    </row>
    <row r="6" spans="1:19" s="21" customFormat="1" ht="61.5" thickTop="1" thickBot="1">
      <c r="A6" s="114" t="s">
        <v>90</v>
      </c>
      <c r="B6" s="395" t="s">
        <v>91</v>
      </c>
      <c r="C6" s="395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.75" thickTop="1">
      <c r="A7" s="385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6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 t="shared" ref="I8:J9" si="3">15%*F8</f>
        <v>4622.5</v>
      </c>
      <c r="J8" s="152">
        <f t="shared" si="3"/>
        <v>0</v>
      </c>
      <c r="K8" s="320"/>
      <c r="L8" s="328"/>
      <c r="M8" s="320"/>
      <c r="N8" s="328"/>
      <c r="P8" s="93"/>
      <c r="Q8" s="58"/>
      <c r="S8" s="93"/>
    </row>
    <row r="9" spans="1:19" ht="15.75" thickBot="1">
      <c r="A9" s="387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si="3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.75" thickBot="1">
      <c r="A10" s="147"/>
      <c r="B10" s="148"/>
      <c r="C10" s="172" t="s">
        <v>73</v>
      </c>
      <c r="D10" s="168">
        <f>SUM(D7:D9)</f>
        <v>15</v>
      </c>
      <c r="E10" s="169">
        <f t="shared" ref="E10" si="4">SUM(E7:E9)</f>
        <v>0</v>
      </c>
      <c r="F10" s="170">
        <f>SUM(F7:F9)</f>
        <v>69516.666666666672</v>
      </c>
      <c r="G10" s="171">
        <f>SUM(G7:G9)</f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5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5">15%*G11</f>
        <v>0</v>
      </c>
      <c r="L11" s="93"/>
      <c r="N11" s="93"/>
      <c r="P11" s="93"/>
      <c r="Q11" s="113"/>
      <c r="R11" s="95"/>
      <c r="S11" s="96"/>
    </row>
    <row r="12" spans="1:19">
      <c r="A12" s="386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6">E12*C12*1720/12</f>
        <v>0</v>
      </c>
      <c r="H12" s="165">
        <f t="shared" ref="H12:H13" si="7">F12+G12</f>
        <v>30816.666666666668</v>
      </c>
      <c r="I12" s="163">
        <f t="shared" ref="I12:I25" si="8">15%*F12</f>
        <v>4622.5</v>
      </c>
      <c r="J12" s="152">
        <f t="shared" si="5"/>
        <v>0</v>
      </c>
      <c r="L12" s="93"/>
      <c r="N12" s="93"/>
      <c r="P12" s="93"/>
      <c r="Q12" s="95"/>
      <c r="R12" s="95"/>
      <c r="S12" s="96"/>
    </row>
    <row r="13" spans="1:19" ht="15.75" thickBot="1">
      <c r="A13" s="387"/>
      <c r="B13" s="135" t="s">
        <v>76</v>
      </c>
      <c r="C13" s="212">
        <v>75</v>
      </c>
      <c r="D13" s="217"/>
      <c r="E13" s="218"/>
      <c r="F13" s="163">
        <f t="shared" ref="F13" si="9">D13*C13*1720/12</f>
        <v>0</v>
      </c>
      <c r="G13" s="164">
        <f t="shared" si="6"/>
        <v>0</v>
      </c>
      <c r="H13" s="165">
        <f t="shared" si="7"/>
        <v>0</v>
      </c>
      <c r="I13" s="163">
        <f t="shared" si="8"/>
        <v>0</v>
      </c>
      <c r="J13" s="152">
        <f t="shared" si="5"/>
        <v>0</v>
      </c>
      <c r="L13" s="93"/>
      <c r="N13" s="93"/>
      <c r="P13" s="93"/>
      <c r="Q13" s="95"/>
      <c r="R13" s="95"/>
      <c r="S13" s="96"/>
    </row>
    <row r="14" spans="1:19" s="36" customFormat="1" ht="15.75" thickBot="1">
      <c r="A14" s="147"/>
      <c r="B14" s="148"/>
      <c r="C14" s="172" t="s">
        <v>77</v>
      </c>
      <c r="D14" s="168">
        <f>SUM(D11:D13)</f>
        <v>5</v>
      </c>
      <c r="E14" s="169">
        <f t="shared" ref="E14" si="10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1">SUM(I11:I13)</f>
        <v>4622.5</v>
      </c>
      <c r="J14" s="167">
        <f t="shared" si="11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5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8"/>
        <v>2902.5</v>
      </c>
      <c r="J15" s="152">
        <f t="shared" si="5"/>
        <v>0</v>
      </c>
      <c r="L15" s="93"/>
      <c r="N15" s="93"/>
      <c r="P15" s="93"/>
      <c r="Q15" s="95"/>
      <c r="R15" s="95"/>
      <c r="S15" s="96"/>
    </row>
    <row r="16" spans="1:19">
      <c r="A16" s="386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2">E16*C16*1720/12</f>
        <v>0</v>
      </c>
      <c r="H16" s="165">
        <f t="shared" ref="H16:H17" si="13">F16+G16</f>
        <v>30816.666666666668</v>
      </c>
      <c r="I16" s="163">
        <f t="shared" si="8"/>
        <v>4622.5</v>
      </c>
      <c r="J16" s="152">
        <f t="shared" si="5"/>
        <v>0</v>
      </c>
      <c r="L16" s="93"/>
      <c r="N16" s="93"/>
      <c r="P16" s="93"/>
      <c r="Q16" s="95"/>
      <c r="R16" s="95"/>
      <c r="S16" s="96"/>
    </row>
    <row r="17" spans="1:19" ht="15.75" thickBot="1">
      <c r="A17" s="387"/>
      <c r="B17" s="135" t="s">
        <v>76</v>
      </c>
      <c r="C17" s="212">
        <v>75</v>
      </c>
      <c r="D17" s="217">
        <v>7</v>
      </c>
      <c r="E17" s="218"/>
      <c r="F17" s="163">
        <f t="shared" ref="F17" si="14">D17*C17*1720/12</f>
        <v>75250</v>
      </c>
      <c r="G17" s="164">
        <f t="shared" si="12"/>
        <v>0</v>
      </c>
      <c r="H17" s="165">
        <f t="shared" si="13"/>
        <v>75250</v>
      </c>
      <c r="I17" s="163">
        <f t="shared" si="8"/>
        <v>11287.5</v>
      </c>
      <c r="J17" s="152">
        <f t="shared" si="5"/>
        <v>0</v>
      </c>
      <c r="L17" s="93"/>
      <c r="N17" s="93"/>
      <c r="P17" s="93"/>
      <c r="Q17" s="95"/>
      <c r="R17" s="95"/>
      <c r="S17" s="96"/>
    </row>
    <row r="18" spans="1:19" s="36" customFormat="1" ht="15.7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5">SUM(E15:E17)</f>
        <v>0</v>
      </c>
      <c r="F18" s="170">
        <f t="shared" si="15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:J18" si="16">SUM(I15:I17)</f>
        <v>18812.5</v>
      </c>
      <c r="J18" s="167">
        <f t="shared" si="16"/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5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8"/>
        <v>3483</v>
      </c>
      <c r="J19" s="200">
        <f t="shared" si="5"/>
        <v>0</v>
      </c>
      <c r="L19" s="93"/>
      <c r="N19" s="93"/>
      <c r="P19" s="93"/>
      <c r="Q19" s="95"/>
      <c r="R19" s="95"/>
      <c r="S19" s="96"/>
    </row>
    <row r="20" spans="1:19">
      <c r="A20" s="386"/>
      <c r="B20" s="134" t="s">
        <v>75</v>
      </c>
      <c r="C20" s="211">
        <v>43</v>
      </c>
      <c r="D20" s="215">
        <v>6</v>
      </c>
      <c r="E20" s="216"/>
      <c r="F20" s="149">
        <f t="shared" ref="F20:F25" si="17">D20*C20*1720/12</f>
        <v>36980</v>
      </c>
      <c r="G20" s="164">
        <f t="shared" ref="G20:G21" si="18">E20*C20*1720/12</f>
        <v>0</v>
      </c>
      <c r="H20" s="152">
        <f t="shared" ref="H20:H21" si="19">F20+G20</f>
        <v>36980</v>
      </c>
      <c r="I20" s="163">
        <f>15%*F20</f>
        <v>5547</v>
      </c>
      <c r="J20" s="152">
        <f t="shared" si="5"/>
        <v>0</v>
      </c>
      <c r="L20" s="93"/>
      <c r="N20" s="93"/>
      <c r="P20" s="93"/>
      <c r="Q20" s="95"/>
      <c r="R20" s="95"/>
      <c r="S20" s="96"/>
    </row>
    <row r="21" spans="1:19" ht="15.75" thickBot="1">
      <c r="A21" s="387"/>
      <c r="B21" s="135" t="s">
        <v>76</v>
      </c>
      <c r="C21" s="212">
        <v>75</v>
      </c>
      <c r="D21" s="217">
        <v>6</v>
      </c>
      <c r="E21" s="218"/>
      <c r="F21" s="149">
        <f t="shared" si="17"/>
        <v>64500</v>
      </c>
      <c r="G21" s="164">
        <f t="shared" si="18"/>
        <v>0</v>
      </c>
      <c r="H21" s="152">
        <f t="shared" si="19"/>
        <v>64500</v>
      </c>
      <c r="I21" s="163">
        <f t="shared" si="8"/>
        <v>9675</v>
      </c>
      <c r="J21" s="152">
        <f t="shared" si="5"/>
        <v>0</v>
      </c>
      <c r="L21" s="93"/>
      <c r="N21" s="93"/>
      <c r="P21" s="93"/>
      <c r="Q21" s="95"/>
      <c r="R21" s="95"/>
      <c r="S21" s="96"/>
    </row>
    <row r="22" spans="1:19" s="36" customFormat="1" ht="15.7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0">SUM(E19:E21)</f>
        <v>0</v>
      </c>
      <c r="F22" s="170">
        <f>SUM(F19:F21)</f>
        <v>124700</v>
      </c>
      <c r="G22" s="171">
        <f t="shared" si="20"/>
        <v>0</v>
      </c>
      <c r="H22" s="167">
        <f>SUM(H19:H21)</f>
        <v>124700</v>
      </c>
      <c r="I22" s="170">
        <f>SUM(I19:I21)</f>
        <v>18705</v>
      </c>
      <c r="J22" s="167">
        <f t="shared" ref="J22" si="21"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5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7"/>
        <v>0</v>
      </c>
      <c r="G23" s="164">
        <f>E23*C23*1720/12</f>
        <v>58050</v>
      </c>
      <c r="H23" s="331">
        <f>(F23+G23)</f>
        <v>58050</v>
      </c>
      <c r="I23" s="163">
        <f t="shared" si="8"/>
        <v>0</v>
      </c>
      <c r="J23" s="152">
        <f t="shared" si="5"/>
        <v>8707.5</v>
      </c>
      <c r="L23" s="93"/>
      <c r="N23" s="93"/>
      <c r="P23" s="93"/>
      <c r="Q23" s="95"/>
      <c r="R23" s="95"/>
      <c r="S23" s="96"/>
    </row>
    <row r="24" spans="1:19">
      <c r="A24" s="386"/>
      <c r="B24" s="134" t="s">
        <v>75</v>
      </c>
      <c r="C24" s="211">
        <v>43</v>
      </c>
      <c r="D24" s="215"/>
      <c r="E24" s="216">
        <v>13</v>
      </c>
      <c r="F24" s="149">
        <f t="shared" si="17"/>
        <v>0</v>
      </c>
      <c r="G24" s="164">
        <f t="shared" ref="G24:G25" si="22">E24*C24*1720/12</f>
        <v>80123.333333333328</v>
      </c>
      <c r="H24" s="332">
        <f t="shared" ref="H24:H25" si="23">(F24+G24)</f>
        <v>80123.333333333328</v>
      </c>
      <c r="I24" s="163">
        <f t="shared" si="8"/>
        <v>0</v>
      </c>
      <c r="J24" s="152">
        <f t="shared" si="5"/>
        <v>12018.499999999998</v>
      </c>
      <c r="L24" s="93"/>
      <c r="N24" s="93"/>
      <c r="P24" s="93"/>
      <c r="Q24" s="95"/>
      <c r="R24" s="95"/>
      <c r="S24" s="96"/>
    </row>
    <row r="25" spans="1:19" ht="15.75" thickBot="1">
      <c r="A25" s="387"/>
      <c r="B25" s="135" t="s">
        <v>76</v>
      </c>
      <c r="C25" s="212">
        <v>75</v>
      </c>
      <c r="D25" s="217"/>
      <c r="E25" s="218">
        <v>7</v>
      </c>
      <c r="F25" s="149">
        <f t="shared" si="17"/>
        <v>0</v>
      </c>
      <c r="G25" s="164">
        <f t="shared" si="22"/>
        <v>75250</v>
      </c>
      <c r="H25" s="333">
        <f t="shared" si="23"/>
        <v>75250</v>
      </c>
      <c r="I25" s="163">
        <f t="shared" si="8"/>
        <v>0</v>
      </c>
      <c r="J25" s="152">
        <f t="shared" si="5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24">SUM(E23:E25)</f>
        <v>35</v>
      </c>
      <c r="F26" s="170">
        <f>SUM(F23:F25)</f>
        <v>0</v>
      </c>
      <c r="G26" s="171">
        <f t="shared" si="24"/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5" thickBot="1">
      <c r="A28" s="388" t="s">
        <v>92</v>
      </c>
      <c r="B28" s="389"/>
      <c r="C28" s="390"/>
      <c r="D28" s="173">
        <f t="shared" ref="D28:J28" si="25">D10+D14+D18+D22+D26</f>
        <v>55</v>
      </c>
      <c r="E28" s="204">
        <f t="shared" si="25"/>
        <v>35</v>
      </c>
      <c r="F28" s="174">
        <f t="shared" si="25"/>
        <v>350450</v>
      </c>
      <c r="G28" s="174">
        <f t="shared" si="25"/>
        <v>213423.33333333331</v>
      </c>
      <c r="H28" s="206">
        <f t="shared" si="25"/>
        <v>563873.33333333326</v>
      </c>
      <c r="I28" s="174">
        <f t="shared" si="25"/>
        <v>52567.5</v>
      </c>
      <c r="J28" s="198">
        <f t="shared" si="25"/>
        <v>32013.5</v>
      </c>
      <c r="K28" s="220">
        <v>1000</v>
      </c>
      <c r="L28" s="220">
        <v>1000</v>
      </c>
      <c r="M28" s="208">
        <f t="shared" ref="M28:P28" si="26">M10+M14+M18+M22+M26</f>
        <v>0</v>
      </c>
      <c r="N28" s="206">
        <f t="shared" si="26"/>
        <v>0</v>
      </c>
      <c r="O28" s="175">
        <f t="shared" si="26"/>
        <v>0</v>
      </c>
      <c r="P28" s="206">
        <f t="shared" si="26"/>
        <v>0</v>
      </c>
      <c r="Q28" s="174">
        <f>Q10+Q14+Q18+Q22+Q26+K28</f>
        <v>404017.5</v>
      </c>
      <c r="R28" s="174">
        <f>R10+R14+R18+R22+R26+L28</f>
        <v>246436.83333333331</v>
      </c>
      <c r="S28" s="206">
        <f>S10+S14+S18+S22+S26+K28+L28</f>
        <v>650454.33333333326</v>
      </c>
    </row>
    <row r="29" spans="1:19" ht="15.7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0" t="s">
        <v>93</v>
      </c>
      <c r="B30" s="381"/>
      <c r="C30" s="230">
        <f>80%*Q28+60%*R28</f>
        <v>471076.1</v>
      </c>
      <c r="K30" s="33"/>
    </row>
    <row r="31" spans="1:19" ht="15.75" thickTop="1">
      <c r="C31" s="32"/>
      <c r="H31" s="32"/>
      <c r="K31" s="33"/>
    </row>
    <row r="32" spans="1:19" ht="15.75" thickBot="1">
      <c r="H32" s="32"/>
      <c r="K32" s="33"/>
    </row>
    <row r="33" spans="1:11" ht="16.5" thickTop="1" thickBot="1">
      <c r="A33" s="382" t="s">
        <v>85</v>
      </c>
      <c r="B33" s="231" t="s">
        <v>74</v>
      </c>
      <c r="C33" s="235">
        <f t="shared" ref="C33:D35" si="27">D23+D19+D15+D11+D7</f>
        <v>21</v>
      </c>
      <c r="D33" s="235">
        <f t="shared" si="27"/>
        <v>15</v>
      </c>
      <c r="E33" s="235">
        <f>SUM(C33:D33)</f>
        <v>36</v>
      </c>
      <c r="H33" s="32"/>
      <c r="K33" s="33"/>
    </row>
    <row r="34" spans="1:11" ht="16.5" thickTop="1" thickBot="1">
      <c r="A34" s="383"/>
      <c r="B34" s="232" t="s">
        <v>75</v>
      </c>
      <c r="C34" s="235">
        <f t="shared" si="27"/>
        <v>21</v>
      </c>
      <c r="D34" s="235">
        <f t="shared" si="27"/>
        <v>13</v>
      </c>
      <c r="E34" s="235">
        <f t="shared" ref="E34:E35" si="28">SUM(C34:D34)</f>
        <v>34</v>
      </c>
      <c r="H34" s="32"/>
      <c r="K34" s="33"/>
    </row>
    <row r="35" spans="1:11" ht="16.5" thickTop="1" thickBot="1">
      <c r="A35" s="384"/>
      <c r="B35" s="233" t="s">
        <v>76</v>
      </c>
      <c r="C35" s="235">
        <f t="shared" si="27"/>
        <v>13</v>
      </c>
      <c r="D35" s="235">
        <f t="shared" si="27"/>
        <v>7</v>
      </c>
      <c r="E35" s="235">
        <f t="shared" si="28"/>
        <v>20</v>
      </c>
      <c r="H35" s="32"/>
      <c r="K35" s="33"/>
    </row>
    <row r="36" spans="1:11" ht="16.5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.75" thickBot="1">
      <c r="C42" s="32"/>
      <c r="H42" s="32"/>
      <c r="K42" s="34"/>
    </row>
    <row r="43" spans="1:11" ht="15.7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9"/>
  <sheetViews>
    <sheetView zoomScale="114" zoomScaleNormal="100" workbookViewId="0">
      <pane xSplit="1" ySplit="6" topLeftCell="B16" activePane="bottomRight" state="frozen"/>
      <selection pane="topRight" activeCell="B1" sqref="B1"/>
      <selection pane="bottomLeft" activeCell="A3" sqref="A3"/>
      <selection pane="bottomRight" activeCell="H16" sqref="H16"/>
    </sheetView>
  </sheetViews>
  <sheetFormatPr defaultColWidth="14.28515625" defaultRowHeight="1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4" spans="1:19" ht="15.75" thickBot="1"/>
    <row r="5" spans="1:19" s="25" customFormat="1" ht="41.45" customHeight="1" thickTop="1" thickBot="1">
      <c r="A5" s="392" t="s">
        <v>94</v>
      </c>
      <c r="B5" s="392"/>
      <c r="C5" s="392"/>
      <c r="D5" s="392"/>
      <c r="E5" s="393"/>
      <c r="F5" s="391" t="s">
        <v>87</v>
      </c>
      <c r="G5" s="391"/>
      <c r="H5" s="391"/>
      <c r="I5" s="391" t="s">
        <v>88</v>
      </c>
      <c r="J5" s="391"/>
      <c r="K5" s="394" t="s">
        <v>59</v>
      </c>
      <c r="L5" s="394"/>
      <c r="M5" s="394" t="s">
        <v>60</v>
      </c>
      <c r="N5" s="394"/>
      <c r="O5" s="394" t="s">
        <v>61</v>
      </c>
      <c r="P5" s="394"/>
      <c r="Q5" s="391" t="s">
        <v>89</v>
      </c>
      <c r="R5" s="391"/>
      <c r="S5" s="391"/>
    </row>
    <row r="6" spans="1:19" s="21" customFormat="1" ht="61.5" thickTop="1" thickBot="1">
      <c r="A6" s="114" t="s">
        <v>90</v>
      </c>
      <c r="B6" s="395" t="s">
        <v>91</v>
      </c>
      <c r="C6" s="395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.75" thickTop="1">
      <c r="A7" s="385" t="s">
        <v>48</v>
      </c>
      <c r="B7" s="133" t="s">
        <v>74</v>
      </c>
      <c r="C7" s="210">
        <v>29</v>
      </c>
      <c r="D7" s="213">
        <v>10</v>
      </c>
      <c r="E7" s="214"/>
      <c r="F7" s="149">
        <f>D7*C7*1500/12</f>
        <v>36250</v>
      </c>
      <c r="G7" s="150">
        <f>E7*C7*1500/12</f>
        <v>0</v>
      </c>
      <c r="H7" s="151">
        <f>F7+G7</f>
        <v>36250</v>
      </c>
      <c r="I7" s="149">
        <f>15%*F7</f>
        <v>5437.5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6"/>
      <c r="B8" s="134" t="s">
        <v>75</v>
      </c>
      <c r="C8" s="211">
        <v>33</v>
      </c>
      <c r="D8" s="215">
        <v>5</v>
      </c>
      <c r="E8" s="216"/>
      <c r="F8" s="153">
        <f>D8*C8*1500/12</f>
        <v>20625</v>
      </c>
      <c r="G8" s="154">
        <f>E8*C8*1500/12</f>
        <v>0</v>
      </c>
      <c r="H8" s="151">
        <f t="shared" ref="H8:H9" si="0">F8+G8</f>
        <v>20625</v>
      </c>
      <c r="I8" s="149">
        <f t="shared" ref="I8:J9" si="1">15%*F8</f>
        <v>3093.75</v>
      </c>
      <c r="J8" s="152">
        <f t="shared" si="1"/>
        <v>0</v>
      </c>
      <c r="K8" s="320"/>
      <c r="L8" s="328"/>
      <c r="M8" s="320"/>
      <c r="N8" s="328"/>
      <c r="P8" s="93"/>
      <c r="Q8" s="58"/>
      <c r="S8" s="93"/>
    </row>
    <row r="9" spans="1:19" ht="15.75" thickBot="1">
      <c r="A9" s="387"/>
      <c r="B9" s="135" t="s">
        <v>76</v>
      </c>
      <c r="C9" s="212">
        <v>55</v>
      </c>
      <c r="D9" s="217"/>
      <c r="E9" s="218"/>
      <c r="F9" s="149">
        <f>D9*C9*1500/12</f>
        <v>0</v>
      </c>
      <c r="G9" s="155">
        <f>E9*C9*1500/12</f>
        <v>0</v>
      </c>
      <c r="H9" s="151">
        <f t="shared" si="0"/>
        <v>0</v>
      </c>
      <c r="I9" s="149">
        <f t="shared" si="1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.75" thickBot="1">
      <c r="A10" s="147"/>
      <c r="B10" s="148"/>
      <c r="C10" s="172" t="s">
        <v>73</v>
      </c>
      <c r="D10" s="168">
        <f>SUM(D7:D9)</f>
        <v>15</v>
      </c>
      <c r="E10" s="169">
        <f t="shared" ref="E10" si="2">SUM(E7:E9)</f>
        <v>0</v>
      </c>
      <c r="F10" s="170">
        <f>SUM(F7:F9)</f>
        <v>56875</v>
      </c>
      <c r="G10" s="171">
        <f>SUM(G7:G9)</f>
        <v>0</v>
      </c>
      <c r="H10" s="167">
        <f>SUM(H7:H9)</f>
        <v>56875</v>
      </c>
      <c r="I10" s="170">
        <f>SUM(I7:I9)</f>
        <v>8531.25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65406.25</v>
      </c>
      <c r="R10" s="157">
        <f>G10+J10+N10+P10</f>
        <v>0</v>
      </c>
      <c r="S10" s="158">
        <f>SUM(Q10:R10)</f>
        <v>65406.25</v>
      </c>
    </row>
    <row r="11" spans="1:19">
      <c r="A11" s="385" t="s">
        <v>49</v>
      </c>
      <c r="B11" s="136" t="s">
        <v>74</v>
      </c>
      <c r="C11" s="210">
        <v>29</v>
      </c>
      <c r="D11" s="213"/>
      <c r="E11" s="219"/>
      <c r="F11" s="163">
        <f>D11*C11*1500/12</f>
        <v>0</v>
      </c>
      <c r="G11" s="164">
        <f>E11*C11*1500/12</f>
        <v>0</v>
      </c>
      <c r="H11" s="165">
        <f>F11+G11</f>
        <v>0</v>
      </c>
      <c r="I11" s="163">
        <f>15%*F11</f>
        <v>0</v>
      </c>
      <c r="J11" s="152">
        <f t="shared" ref="J11:J25" si="3">15%*G11</f>
        <v>0</v>
      </c>
      <c r="L11" s="93"/>
      <c r="N11" s="93"/>
      <c r="P11" s="93"/>
      <c r="Q11" s="113"/>
      <c r="R11" s="95"/>
      <c r="S11" s="96"/>
    </row>
    <row r="12" spans="1:19">
      <c r="A12" s="386"/>
      <c r="B12" s="134" t="s">
        <v>75</v>
      </c>
      <c r="C12" s="211">
        <v>33</v>
      </c>
      <c r="D12" s="215">
        <v>5</v>
      </c>
      <c r="E12" s="216"/>
      <c r="F12" s="163">
        <f t="shared" ref="F12:F13" si="4">D12*C12*1500/12</f>
        <v>20625</v>
      </c>
      <c r="G12" s="164">
        <f>E12*C12*1500/12</f>
        <v>0</v>
      </c>
      <c r="H12" s="165">
        <f t="shared" ref="H12:H13" si="5">F12+G12</f>
        <v>20625</v>
      </c>
      <c r="I12" s="163">
        <f t="shared" ref="I12:I25" si="6">15%*F12</f>
        <v>3093.75</v>
      </c>
      <c r="J12" s="152">
        <f t="shared" si="3"/>
        <v>0</v>
      </c>
      <c r="L12" s="93"/>
      <c r="N12" s="93"/>
      <c r="P12" s="93"/>
      <c r="Q12" s="95"/>
      <c r="R12" s="95"/>
      <c r="S12" s="96"/>
    </row>
    <row r="13" spans="1:19" ht="15.75" thickBot="1">
      <c r="A13" s="387"/>
      <c r="B13" s="135" t="s">
        <v>76</v>
      </c>
      <c r="C13" s="212">
        <v>55</v>
      </c>
      <c r="D13" s="217"/>
      <c r="E13" s="218"/>
      <c r="F13" s="163">
        <f t="shared" si="4"/>
        <v>0</v>
      </c>
      <c r="G13" s="164">
        <f>E13*C13*1500/12</f>
        <v>0</v>
      </c>
      <c r="H13" s="165">
        <f t="shared" si="5"/>
        <v>0</v>
      </c>
      <c r="I13" s="163">
        <f t="shared" si="6"/>
        <v>0</v>
      </c>
      <c r="J13" s="152">
        <f t="shared" si="3"/>
        <v>0</v>
      </c>
      <c r="L13" s="93"/>
      <c r="N13" s="93"/>
      <c r="P13" s="93"/>
      <c r="Q13" s="95"/>
      <c r="R13" s="95"/>
      <c r="S13" s="96"/>
    </row>
    <row r="14" spans="1:19" s="36" customFormat="1" ht="15.75" thickBot="1">
      <c r="A14" s="147"/>
      <c r="B14" s="148"/>
      <c r="C14" s="172" t="s">
        <v>77</v>
      </c>
      <c r="D14" s="168">
        <f>SUM(D11:D13)</f>
        <v>5</v>
      </c>
      <c r="E14" s="169">
        <f t="shared" ref="E14" si="7">SUM(E11:E13)</f>
        <v>0</v>
      </c>
      <c r="F14" s="170">
        <f>SUM(F11:F13)</f>
        <v>20625</v>
      </c>
      <c r="G14" s="171">
        <f>SUM(G11:G13)</f>
        <v>0</v>
      </c>
      <c r="H14" s="167">
        <f>SUM(H11:H13)</f>
        <v>20625</v>
      </c>
      <c r="I14" s="170">
        <f t="shared" ref="I14:J14" si="8">SUM(I11:I13)</f>
        <v>3093.75</v>
      </c>
      <c r="J14" s="167">
        <f t="shared" si="8"/>
        <v>0</v>
      </c>
      <c r="L14" s="202"/>
      <c r="M14" s="223"/>
      <c r="N14" s="224"/>
      <c r="O14" s="223"/>
      <c r="P14" s="225"/>
      <c r="Q14" s="159">
        <f>F14+I14+M14+O14</f>
        <v>23718.75</v>
      </c>
      <c r="R14" s="160">
        <f>G14+J14+N14+P14</f>
        <v>0</v>
      </c>
      <c r="S14" s="158">
        <f>SUM(Q14:R14)</f>
        <v>23718.75</v>
      </c>
    </row>
    <row r="15" spans="1:19">
      <c r="A15" s="385" t="s">
        <v>50</v>
      </c>
      <c r="B15" s="136" t="s">
        <v>74</v>
      </c>
      <c r="C15" s="210">
        <v>29</v>
      </c>
      <c r="D15" s="213">
        <v>5</v>
      </c>
      <c r="E15" s="219"/>
      <c r="F15" s="163">
        <f>D15*C15*1500/12</f>
        <v>18125</v>
      </c>
      <c r="G15" s="164">
        <f>E15*C15*1500/12</f>
        <v>0</v>
      </c>
      <c r="H15" s="165">
        <f>F15+G15</f>
        <v>18125</v>
      </c>
      <c r="I15" s="163">
        <f t="shared" si="6"/>
        <v>2718.75</v>
      </c>
      <c r="J15" s="152">
        <f t="shared" si="3"/>
        <v>0</v>
      </c>
      <c r="L15" s="93"/>
      <c r="N15" s="93"/>
      <c r="P15" s="93"/>
      <c r="Q15" s="95"/>
      <c r="R15" s="95"/>
      <c r="S15" s="96"/>
    </row>
    <row r="16" spans="1:19">
      <c r="A16" s="386"/>
      <c r="B16" s="134" t="s">
        <v>75</v>
      </c>
      <c r="C16" s="211">
        <v>33</v>
      </c>
      <c r="D16" s="215">
        <v>5</v>
      </c>
      <c r="E16" s="216"/>
      <c r="F16" s="163">
        <f t="shared" ref="F16:F17" si="9">D16*C16*1500/12</f>
        <v>20625</v>
      </c>
      <c r="G16" s="164">
        <f>E16*C16*1500/12</f>
        <v>0</v>
      </c>
      <c r="H16" s="165">
        <f t="shared" ref="H16:H17" si="10">F16+G16</f>
        <v>20625</v>
      </c>
      <c r="I16" s="163">
        <f t="shared" si="6"/>
        <v>3093.75</v>
      </c>
      <c r="J16" s="152">
        <f t="shared" si="3"/>
        <v>0</v>
      </c>
      <c r="L16" s="93"/>
      <c r="N16" s="93"/>
      <c r="P16" s="93"/>
      <c r="Q16" s="95"/>
      <c r="R16" s="95"/>
      <c r="S16" s="96"/>
    </row>
    <row r="17" spans="1:19" ht="15.75" thickBot="1">
      <c r="A17" s="387"/>
      <c r="B17" s="135" t="s">
        <v>76</v>
      </c>
      <c r="C17" s="212">
        <v>55</v>
      </c>
      <c r="D17" s="217">
        <v>7</v>
      </c>
      <c r="E17" s="218"/>
      <c r="F17" s="163">
        <f t="shared" si="9"/>
        <v>48125</v>
      </c>
      <c r="G17" s="164">
        <f>E17*C17*1500/12</f>
        <v>0</v>
      </c>
      <c r="H17" s="165">
        <f t="shared" si="10"/>
        <v>48125</v>
      </c>
      <c r="I17" s="163">
        <f t="shared" si="6"/>
        <v>7218.75</v>
      </c>
      <c r="J17" s="152">
        <f t="shared" si="3"/>
        <v>0</v>
      </c>
      <c r="L17" s="93"/>
      <c r="N17" s="93"/>
      <c r="P17" s="93"/>
      <c r="Q17" s="95"/>
      <c r="R17" s="95"/>
      <c r="S17" s="96"/>
    </row>
    <row r="18" spans="1:19" s="36" customFormat="1" ht="15.7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1">SUM(E15:E17)</f>
        <v>0</v>
      </c>
      <c r="F18" s="170">
        <f t="shared" si="11"/>
        <v>86875</v>
      </c>
      <c r="G18" s="171">
        <f>SUM(G15:G17)</f>
        <v>0</v>
      </c>
      <c r="H18" s="167">
        <f>SUM(H15:H17)</f>
        <v>86875</v>
      </c>
      <c r="I18" s="170">
        <f t="shared" ref="I18:J18" si="12">SUM(I15:I17)</f>
        <v>13031.25</v>
      </c>
      <c r="J18" s="167">
        <f t="shared" si="12"/>
        <v>0</v>
      </c>
      <c r="L18" s="202"/>
      <c r="M18" s="223"/>
      <c r="N18" s="224"/>
      <c r="O18" s="223"/>
      <c r="P18" s="224"/>
      <c r="Q18" s="161">
        <f>F18+I18+M18+O18</f>
        <v>99906.25</v>
      </c>
      <c r="R18" s="161">
        <f>G18+J18+N18+P18</f>
        <v>0</v>
      </c>
      <c r="S18" s="162">
        <f>SUM(Q18:R18)</f>
        <v>99906.25</v>
      </c>
    </row>
    <row r="19" spans="1:19">
      <c r="A19" s="385" t="s">
        <v>51</v>
      </c>
      <c r="B19" s="136" t="s">
        <v>74</v>
      </c>
      <c r="C19" s="210">
        <v>29</v>
      </c>
      <c r="D19" s="213">
        <v>6</v>
      </c>
      <c r="E19" s="219"/>
      <c r="F19" s="149">
        <f>D19*C19*1500/12</f>
        <v>21750</v>
      </c>
      <c r="G19" s="164">
        <f>E19*C19*1500/12</f>
        <v>0</v>
      </c>
      <c r="H19" s="152">
        <f>F19+G19</f>
        <v>21750</v>
      </c>
      <c r="I19" s="163">
        <f t="shared" si="6"/>
        <v>3262.5</v>
      </c>
      <c r="J19" s="200">
        <f t="shared" si="3"/>
        <v>0</v>
      </c>
      <c r="L19" s="93"/>
      <c r="N19" s="93"/>
      <c r="P19" s="93"/>
      <c r="Q19" s="95"/>
      <c r="R19" s="95"/>
      <c r="S19" s="96"/>
    </row>
    <row r="20" spans="1:19">
      <c r="A20" s="386"/>
      <c r="B20" s="134" t="s">
        <v>75</v>
      </c>
      <c r="C20" s="211">
        <v>33</v>
      </c>
      <c r="D20" s="215">
        <v>6</v>
      </c>
      <c r="E20" s="216"/>
      <c r="F20" s="149">
        <f t="shared" ref="F20:F21" si="13">D20*C20*1500/12</f>
        <v>24750</v>
      </c>
      <c r="G20" s="164">
        <f>E20*C20*1500/12</f>
        <v>0</v>
      </c>
      <c r="H20" s="152">
        <f t="shared" ref="H20:H21" si="14">F20+G20</f>
        <v>24750</v>
      </c>
      <c r="I20" s="163">
        <f>15%*F20</f>
        <v>3712.5</v>
      </c>
      <c r="J20" s="152">
        <f t="shared" si="3"/>
        <v>0</v>
      </c>
      <c r="L20" s="93"/>
      <c r="N20" s="93"/>
      <c r="P20" s="93"/>
      <c r="Q20" s="95"/>
      <c r="R20" s="95"/>
      <c r="S20" s="96"/>
    </row>
    <row r="21" spans="1:19" ht="15.75" thickBot="1">
      <c r="A21" s="387"/>
      <c r="B21" s="135" t="s">
        <v>76</v>
      </c>
      <c r="C21" s="212">
        <v>55</v>
      </c>
      <c r="D21" s="217">
        <v>6</v>
      </c>
      <c r="E21" s="218"/>
      <c r="F21" s="149">
        <f t="shared" si="13"/>
        <v>41250</v>
      </c>
      <c r="G21" s="164">
        <f>E21*C21*1500/12</f>
        <v>0</v>
      </c>
      <c r="H21" s="152">
        <f t="shared" si="14"/>
        <v>41250</v>
      </c>
      <c r="I21" s="163">
        <f t="shared" si="6"/>
        <v>6187.5</v>
      </c>
      <c r="J21" s="152">
        <f t="shared" si="3"/>
        <v>0</v>
      </c>
      <c r="L21" s="93"/>
      <c r="N21" s="93"/>
      <c r="P21" s="93"/>
      <c r="Q21" s="95"/>
      <c r="R21" s="95"/>
      <c r="S21" s="96"/>
    </row>
    <row r="22" spans="1:19" s="36" customFormat="1" ht="15.7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15">SUM(E19:E21)</f>
        <v>0</v>
      </c>
      <c r="F22" s="170">
        <f>SUM(F19:F21)</f>
        <v>87750</v>
      </c>
      <c r="G22" s="171">
        <f t="shared" si="15"/>
        <v>0</v>
      </c>
      <c r="H22" s="167">
        <f>SUM(H19:H21)</f>
        <v>87750</v>
      </c>
      <c r="I22" s="170">
        <f>SUM(I19:I21)</f>
        <v>13162.5</v>
      </c>
      <c r="J22" s="167">
        <f t="shared" ref="J22" si="16">SUM(J19:J21)</f>
        <v>0</v>
      </c>
      <c r="L22" s="202"/>
      <c r="M22" s="223"/>
      <c r="N22" s="224"/>
      <c r="O22" s="223"/>
      <c r="P22" s="225"/>
      <c r="Q22" s="159">
        <f>F22+I22+M22+O22</f>
        <v>100912.5</v>
      </c>
      <c r="R22" s="160">
        <f>G22+J22+N22+P22</f>
        <v>0</v>
      </c>
      <c r="S22" s="158">
        <f>SUM(Q22:R22)</f>
        <v>100912.5</v>
      </c>
    </row>
    <row r="23" spans="1:19">
      <c r="A23" s="385" t="s">
        <v>52</v>
      </c>
      <c r="B23" s="136" t="s">
        <v>74</v>
      </c>
      <c r="C23" s="210">
        <v>29</v>
      </c>
      <c r="D23" s="213"/>
      <c r="E23" s="219">
        <v>15</v>
      </c>
      <c r="F23" s="149">
        <f>D23*C23*1500/12</f>
        <v>0</v>
      </c>
      <c r="G23" s="164">
        <f>E23*C23*1500/12</f>
        <v>54375</v>
      </c>
      <c r="H23" s="331">
        <f>(F23+G23)</f>
        <v>54375</v>
      </c>
      <c r="I23" s="163">
        <f t="shared" si="6"/>
        <v>0</v>
      </c>
      <c r="J23" s="152">
        <f t="shared" si="3"/>
        <v>8156.25</v>
      </c>
      <c r="L23" s="93"/>
      <c r="N23" s="93"/>
      <c r="P23" s="93"/>
      <c r="Q23" s="95"/>
      <c r="R23" s="95"/>
      <c r="S23" s="96"/>
    </row>
    <row r="24" spans="1:19">
      <c r="A24" s="386"/>
      <c r="B24" s="134" t="s">
        <v>75</v>
      </c>
      <c r="C24" s="211">
        <v>33</v>
      </c>
      <c r="D24" s="215"/>
      <c r="E24" s="216">
        <v>13</v>
      </c>
      <c r="F24" s="149">
        <f t="shared" ref="F24:F25" si="17">D24*C24*1500/12</f>
        <v>0</v>
      </c>
      <c r="G24" s="164">
        <f>E24*C24*1500/12</f>
        <v>53625</v>
      </c>
      <c r="H24" s="332">
        <f t="shared" ref="H24:H25" si="18">(F24+G24)</f>
        <v>53625</v>
      </c>
      <c r="I24" s="163">
        <f t="shared" si="6"/>
        <v>0</v>
      </c>
      <c r="J24" s="152">
        <f t="shared" si="3"/>
        <v>8043.75</v>
      </c>
      <c r="L24" s="93"/>
      <c r="N24" s="93"/>
      <c r="P24" s="93"/>
      <c r="Q24" s="95"/>
      <c r="R24" s="95"/>
      <c r="S24" s="96"/>
    </row>
    <row r="25" spans="1:19" ht="15.75" thickBot="1">
      <c r="A25" s="387"/>
      <c r="B25" s="135" t="s">
        <v>76</v>
      </c>
      <c r="C25" s="212">
        <v>55</v>
      </c>
      <c r="D25" s="217"/>
      <c r="E25" s="218">
        <v>7</v>
      </c>
      <c r="F25" s="149">
        <f t="shared" si="17"/>
        <v>0</v>
      </c>
      <c r="G25" s="164">
        <f>E25*C25*1500/12</f>
        <v>48125</v>
      </c>
      <c r="H25" s="333">
        <f t="shared" si="18"/>
        <v>48125</v>
      </c>
      <c r="I25" s="163">
        <f t="shared" si="6"/>
        <v>0</v>
      </c>
      <c r="J25" s="152">
        <f t="shared" si="3"/>
        <v>7218.75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19">SUM(E23:E25)</f>
        <v>35</v>
      </c>
      <c r="F26" s="170">
        <f>SUM(F23:F25)</f>
        <v>0</v>
      </c>
      <c r="G26" s="171">
        <f t="shared" si="19"/>
        <v>156125</v>
      </c>
      <c r="H26" s="205">
        <f>SUM(H23:H25)</f>
        <v>156125</v>
      </c>
      <c r="I26" s="170">
        <f>SUM(I23:I25)</f>
        <v>0</v>
      </c>
      <c r="J26" s="167">
        <f>SUM(J23:J25)</f>
        <v>23418.75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179543.75</v>
      </c>
      <c r="S26" s="209">
        <f>SUM(Q26:R26)</f>
        <v>179543.75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5" thickBot="1">
      <c r="A28" s="388" t="s">
        <v>92</v>
      </c>
      <c r="B28" s="389"/>
      <c r="C28" s="390"/>
      <c r="D28" s="173">
        <f t="shared" ref="D28:J28" si="20">D10+D14+D18+D22+D26</f>
        <v>55</v>
      </c>
      <c r="E28" s="204">
        <f t="shared" si="20"/>
        <v>35</v>
      </c>
      <c r="F28" s="174">
        <f t="shared" si="20"/>
        <v>252125</v>
      </c>
      <c r="G28" s="174">
        <f t="shared" si="20"/>
        <v>156125</v>
      </c>
      <c r="H28" s="206">
        <f t="shared" si="20"/>
        <v>408250</v>
      </c>
      <c r="I28" s="174">
        <f t="shared" si="20"/>
        <v>37818.75</v>
      </c>
      <c r="J28" s="198">
        <f t="shared" si="20"/>
        <v>23418.75</v>
      </c>
      <c r="K28" s="220">
        <v>1000</v>
      </c>
      <c r="L28" s="220">
        <v>1000</v>
      </c>
      <c r="M28" s="208">
        <f t="shared" ref="M28:P28" si="21">M10+M14+M18+M22+M26</f>
        <v>0</v>
      </c>
      <c r="N28" s="206">
        <f t="shared" si="21"/>
        <v>0</v>
      </c>
      <c r="O28" s="175">
        <f t="shared" si="21"/>
        <v>0</v>
      </c>
      <c r="P28" s="206">
        <f t="shared" si="21"/>
        <v>0</v>
      </c>
      <c r="Q28" s="174">
        <f>Q10+Q14+Q18+Q22+Q26+K28</f>
        <v>290943.75</v>
      </c>
      <c r="R28" s="174">
        <f>R10+R14+R18+R22+R26+L28</f>
        <v>180543.75</v>
      </c>
      <c r="S28" s="206">
        <f>S10+S14+S18+S22+S26+K28+L28</f>
        <v>471487.5</v>
      </c>
    </row>
    <row r="29" spans="1:19" ht="15.7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0" t="s">
        <v>93</v>
      </c>
      <c r="B30" s="381"/>
      <c r="C30" s="230">
        <f>80%*Q28+60%*R28</f>
        <v>341081.25</v>
      </c>
      <c r="K30" s="33"/>
    </row>
    <row r="31" spans="1:19" ht="15.75" thickTop="1">
      <c r="C31" s="32"/>
      <c r="H31" s="32"/>
      <c r="K31" s="33"/>
    </row>
    <row r="32" spans="1:19" ht="15.75" thickBot="1">
      <c r="H32" s="32"/>
      <c r="K32" s="33"/>
    </row>
    <row r="33" spans="1:11" ht="16.5" thickTop="1" thickBot="1">
      <c r="A33" s="382" t="s">
        <v>85</v>
      </c>
      <c r="B33" s="231" t="s">
        <v>74</v>
      </c>
      <c r="C33" s="235">
        <f t="shared" ref="C33:D35" si="22">D23+D19+D15+D11+D7</f>
        <v>21</v>
      </c>
      <c r="D33" s="235">
        <f t="shared" si="22"/>
        <v>15</v>
      </c>
      <c r="E33" s="235">
        <f>SUM(C33:D33)</f>
        <v>36</v>
      </c>
      <c r="H33" s="32"/>
      <c r="K33" s="33"/>
    </row>
    <row r="34" spans="1:11" ht="16.5" thickTop="1" thickBot="1">
      <c r="A34" s="383"/>
      <c r="B34" s="232" t="s">
        <v>75</v>
      </c>
      <c r="C34" s="235">
        <f t="shared" si="22"/>
        <v>21</v>
      </c>
      <c r="D34" s="235">
        <f t="shared" si="22"/>
        <v>13</v>
      </c>
      <c r="E34" s="235">
        <f t="shared" ref="E34:E35" si="23">SUM(C34:D34)</f>
        <v>34</v>
      </c>
      <c r="H34" s="32"/>
      <c r="K34" s="33"/>
    </row>
    <row r="35" spans="1:11" ht="16.5" thickTop="1" thickBot="1">
      <c r="A35" s="384"/>
      <c r="B35" s="233" t="s">
        <v>76</v>
      </c>
      <c r="C35" s="235">
        <f t="shared" si="22"/>
        <v>13</v>
      </c>
      <c r="D35" s="235">
        <f t="shared" si="22"/>
        <v>7</v>
      </c>
      <c r="E35" s="235">
        <f t="shared" si="23"/>
        <v>20</v>
      </c>
      <c r="H35" s="32"/>
      <c r="K35" s="33"/>
    </row>
    <row r="36" spans="1:11" ht="16.5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.75" thickBot="1">
      <c r="C42" s="32"/>
      <c r="H42" s="32"/>
      <c r="K42" s="34"/>
    </row>
    <row r="43" spans="1:11" ht="15.7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0F0-DEE8-5949-B0C1-A93B321485D9}">
  <dimension ref="A4:S49"/>
  <sheetViews>
    <sheetView zoomScale="167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ColWidth="14.28515625" defaultRowHeight="15"/>
  <cols>
    <col min="1" max="1" width="17" style="15" customWidth="1"/>
    <col min="2" max="3" width="14.28515625" style="15"/>
    <col min="4" max="4" width="10.7109375" style="15" customWidth="1"/>
    <col min="5" max="5" width="12.42578125" style="15" customWidth="1"/>
    <col min="6" max="9" width="14.28515625" style="15"/>
    <col min="10" max="10" width="14.28515625" style="15" customWidth="1"/>
    <col min="11" max="11" width="20.42578125" style="15" bestFit="1" customWidth="1"/>
    <col min="12" max="12" width="20.42578125" style="15" customWidth="1"/>
    <col min="13" max="19" width="14.28515625" style="15"/>
    <col min="20" max="20" width="21.42578125" style="15" customWidth="1"/>
    <col min="21" max="16384" width="14.28515625" style="15"/>
  </cols>
  <sheetData>
    <row r="4" spans="1:19" ht="15.75" thickBot="1"/>
    <row r="5" spans="1:19" s="25" customFormat="1" ht="41.45" customHeight="1" thickTop="1" thickBot="1">
      <c r="A5" s="392" t="s">
        <v>94</v>
      </c>
      <c r="B5" s="392"/>
      <c r="C5" s="392"/>
      <c r="D5" s="392"/>
      <c r="E5" s="393"/>
      <c r="F5" s="391" t="s">
        <v>87</v>
      </c>
      <c r="G5" s="391"/>
      <c r="H5" s="391"/>
      <c r="I5" s="391" t="s">
        <v>88</v>
      </c>
      <c r="J5" s="391"/>
      <c r="K5" s="394" t="s">
        <v>59</v>
      </c>
      <c r="L5" s="394"/>
      <c r="M5" s="394" t="s">
        <v>60</v>
      </c>
      <c r="N5" s="394"/>
      <c r="O5" s="394" t="s">
        <v>61</v>
      </c>
      <c r="P5" s="394"/>
      <c r="Q5" s="391" t="s">
        <v>89</v>
      </c>
      <c r="R5" s="391"/>
      <c r="S5" s="391"/>
    </row>
    <row r="6" spans="1:19" s="21" customFormat="1" ht="61.5" thickTop="1" thickBot="1">
      <c r="A6" s="114" t="s">
        <v>90</v>
      </c>
      <c r="B6" s="395" t="s">
        <v>91</v>
      </c>
      <c r="C6" s="395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.75" thickTop="1">
      <c r="A7" s="385" t="s">
        <v>48</v>
      </c>
      <c r="B7" s="133" t="s">
        <v>74</v>
      </c>
      <c r="C7" s="210">
        <v>31</v>
      </c>
      <c r="D7" s="213">
        <v>10</v>
      </c>
      <c r="E7" s="214"/>
      <c r="F7" s="149">
        <f>D7*C7*1500/12</f>
        <v>38750</v>
      </c>
      <c r="G7" s="150">
        <f>E7*C7*1500/12</f>
        <v>0</v>
      </c>
      <c r="H7" s="151">
        <f>F7+G7</f>
        <v>38750</v>
      </c>
      <c r="I7" s="149">
        <f>15%*F7</f>
        <v>5812.5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6"/>
      <c r="B8" s="134" t="s">
        <v>75</v>
      </c>
      <c r="C8" s="211">
        <v>48</v>
      </c>
      <c r="D8" s="215">
        <v>5</v>
      </c>
      <c r="E8" s="216"/>
      <c r="F8" s="153">
        <f>D8*C8*1500/12</f>
        <v>30000</v>
      </c>
      <c r="G8" s="154">
        <f>E8*C8*1500/12</f>
        <v>0</v>
      </c>
      <c r="H8" s="151">
        <f t="shared" ref="H8:H9" si="0">F8+G8</f>
        <v>30000</v>
      </c>
      <c r="I8" s="149">
        <f t="shared" ref="I8:J9" si="1">15%*F8</f>
        <v>4500</v>
      </c>
      <c r="J8" s="152">
        <f t="shared" si="1"/>
        <v>0</v>
      </c>
      <c r="K8" s="320"/>
      <c r="L8" s="328"/>
      <c r="M8" s="320"/>
      <c r="N8" s="328"/>
      <c r="P8" s="93"/>
      <c r="Q8" s="58"/>
      <c r="S8" s="93"/>
    </row>
    <row r="9" spans="1:19" ht="15.75" thickBot="1">
      <c r="A9" s="387"/>
      <c r="B9" s="135" t="s">
        <v>76</v>
      </c>
      <c r="C9" s="212">
        <v>73</v>
      </c>
      <c r="D9" s="217"/>
      <c r="E9" s="218"/>
      <c r="F9" s="149">
        <f>D9*C9*1500/12</f>
        <v>0</v>
      </c>
      <c r="G9" s="155">
        <f>E9*C9*1500/12</f>
        <v>0</v>
      </c>
      <c r="H9" s="151">
        <f t="shared" si="0"/>
        <v>0</v>
      </c>
      <c r="I9" s="149">
        <f t="shared" si="1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.75" thickBot="1">
      <c r="A10" s="147"/>
      <c r="B10" s="148"/>
      <c r="C10" s="172" t="s">
        <v>73</v>
      </c>
      <c r="D10" s="168">
        <f>SUM(D7:D9)</f>
        <v>15</v>
      </c>
      <c r="E10" s="169">
        <f t="shared" ref="E10" si="2">SUM(E7:E9)</f>
        <v>0</v>
      </c>
      <c r="F10" s="170">
        <f>SUM(F7:F9)</f>
        <v>68750</v>
      </c>
      <c r="G10" s="171">
        <f>SUM(G7:G9)</f>
        <v>0</v>
      </c>
      <c r="H10" s="167">
        <f>SUM(H7:H9)</f>
        <v>68750</v>
      </c>
      <c r="I10" s="170">
        <f>SUM(I7:I9)</f>
        <v>10312.5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79062.5</v>
      </c>
      <c r="R10" s="157">
        <f>G10+J10+N10+P10</f>
        <v>0</v>
      </c>
      <c r="S10" s="158">
        <f>SUM(Q10:R10)</f>
        <v>79062.5</v>
      </c>
    </row>
    <row r="11" spans="1:19">
      <c r="A11" s="385" t="s">
        <v>49</v>
      </c>
      <c r="B11" s="136" t="s">
        <v>74</v>
      </c>
      <c r="C11" s="210">
        <v>31</v>
      </c>
      <c r="D11" s="213"/>
      <c r="E11" s="219"/>
      <c r="F11" s="163">
        <f>D11*C11*1500/12</f>
        <v>0</v>
      </c>
      <c r="G11" s="164">
        <f>E11*C11*1500/12</f>
        <v>0</v>
      </c>
      <c r="H11" s="165">
        <f>F11+G11</f>
        <v>0</v>
      </c>
      <c r="I11" s="163">
        <f>15%*F11</f>
        <v>0</v>
      </c>
      <c r="J11" s="152">
        <f t="shared" ref="J11:J25" si="3">15%*G11</f>
        <v>0</v>
      </c>
      <c r="L11" s="93"/>
      <c r="N11" s="93"/>
      <c r="P11" s="93"/>
      <c r="Q11" s="113"/>
      <c r="R11" s="95"/>
      <c r="S11" s="96"/>
    </row>
    <row r="12" spans="1:19">
      <c r="A12" s="386"/>
      <c r="B12" s="134" t="s">
        <v>75</v>
      </c>
      <c r="C12" s="211">
        <v>48</v>
      </c>
      <c r="D12" s="215">
        <v>5</v>
      </c>
      <c r="E12" s="216"/>
      <c r="F12" s="163">
        <f t="shared" ref="F12:F13" si="4">D12*C12*1500/12</f>
        <v>30000</v>
      </c>
      <c r="G12" s="164">
        <f>E12*C12*1500/12</f>
        <v>0</v>
      </c>
      <c r="H12" s="165">
        <f t="shared" ref="H12:H13" si="5">F12+G12</f>
        <v>30000</v>
      </c>
      <c r="I12" s="163">
        <f t="shared" ref="I12:I25" si="6">15%*F12</f>
        <v>4500</v>
      </c>
      <c r="J12" s="152">
        <f t="shared" si="3"/>
        <v>0</v>
      </c>
      <c r="L12" s="93"/>
      <c r="N12" s="93"/>
      <c r="P12" s="93"/>
      <c r="Q12" s="95"/>
      <c r="R12" s="95"/>
      <c r="S12" s="96"/>
    </row>
    <row r="13" spans="1:19" ht="15.75" thickBot="1">
      <c r="A13" s="387"/>
      <c r="B13" s="135" t="s">
        <v>76</v>
      </c>
      <c r="C13" s="212">
        <v>73</v>
      </c>
      <c r="D13" s="217"/>
      <c r="E13" s="218"/>
      <c r="F13" s="163">
        <f t="shared" si="4"/>
        <v>0</v>
      </c>
      <c r="G13" s="164">
        <f>E13*C13*1500/12</f>
        <v>0</v>
      </c>
      <c r="H13" s="165">
        <f t="shared" si="5"/>
        <v>0</v>
      </c>
      <c r="I13" s="163">
        <f t="shared" si="6"/>
        <v>0</v>
      </c>
      <c r="J13" s="152">
        <f t="shared" si="3"/>
        <v>0</v>
      </c>
      <c r="L13" s="93"/>
      <c r="N13" s="93"/>
      <c r="P13" s="93"/>
      <c r="Q13" s="95"/>
      <c r="R13" s="95"/>
      <c r="S13" s="96"/>
    </row>
    <row r="14" spans="1:19" s="36" customFormat="1" ht="15.75" thickBot="1">
      <c r="A14" s="147"/>
      <c r="B14" s="148"/>
      <c r="C14" s="172" t="s">
        <v>77</v>
      </c>
      <c r="D14" s="168">
        <f>SUM(D11:D13)</f>
        <v>5</v>
      </c>
      <c r="E14" s="169">
        <f t="shared" ref="E14" si="7">SUM(E11:E13)</f>
        <v>0</v>
      </c>
      <c r="F14" s="170">
        <f>SUM(F11:F13)</f>
        <v>30000</v>
      </c>
      <c r="G14" s="171">
        <f>SUM(G11:G13)</f>
        <v>0</v>
      </c>
      <c r="H14" s="167">
        <f>SUM(H11:H13)</f>
        <v>30000</v>
      </c>
      <c r="I14" s="170">
        <f t="shared" ref="I14:J14" si="8">SUM(I11:I13)</f>
        <v>4500</v>
      </c>
      <c r="J14" s="167">
        <f t="shared" si="8"/>
        <v>0</v>
      </c>
      <c r="L14" s="202"/>
      <c r="M14" s="223"/>
      <c r="N14" s="224"/>
      <c r="O14" s="223"/>
      <c r="P14" s="225"/>
      <c r="Q14" s="159">
        <f>F14+I14+M14+O14</f>
        <v>34500</v>
      </c>
      <c r="R14" s="160">
        <f>G14+J14+N14+P14</f>
        <v>0</v>
      </c>
      <c r="S14" s="158">
        <f>SUM(Q14:R14)</f>
        <v>34500</v>
      </c>
    </row>
    <row r="15" spans="1:19">
      <c r="A15" s="385" t="s">
        <v>50</v>
      </c>
      <c r="B15" s="136" t="s">
        <v>74</v>
      </c>
      <c r="C15" s="210">
        <v>31</v>
      </c>
      <c r="D15" s="213">
        <v>5</v>
      </c>
      <c r="E15" s="219"/>
      <c r="F15" s="163">
        <f>D15*C15*1500/12</f>
        <v>19375</v>
      </c>
      <c r="G15" s="164">
        <f>E15*C15*1500/12</f>
        <v>0</v>
      </c>
      <c r="H15" s="165">
        <f>F15+G15</f>
        <v>19375</v>
      </c>
      <c r="I15" s="163">
        <f t="shared" si="6"/>
        <v>2906.25</v>
      </c>
      <c r="J15" s="152">
        <f t="shared" si="3"/>
        <v>0</v>
      </c>
      <c r="L15" s="93"/>
      <c r="N15" s="93"/>
      <c r="P15" s="93"/>
      <c r="Q15" s="95"/>
      <c r="R15" s="95"/>
      <c r="S15" s="96"/>
    </row>
    <row r="16" spans="1:19">
      <c r="A16" s="386"/>
      <c r="B16" s="134" t="s">
        <v>75</v>
      </c>
      <c r="C16" s="211">
        <v>48</v>
      </c>
      <c r="D16" s="215">
        <v>5</v>
      </c>
      <c r="E16" s="216"/>
      <c r="F16" s="163">
        <f t="shared" ref="F16:F17" si="9">D16*C16*1500/12</f>
        <v>30000</v>
      </c>
      <c r="G16" s="164">
        <f>E16*C16*1500/12</f>
        <v>0</v>
      </c>
      <c r="H16" s="165">
        <f t="shared" ref="H16:H17" si="10">F16+G16</f>
        <v>30000</v>
      </c>
      <c r="I16" s="163">
        <f t="shared" si="6"/>
        <v>4500</v>
      </c>
      <c r="J16" s="152">
        <f t="shared" si="3"/>
        <v>0</v>
      </c>
      <c r="L16" s="93"/>
      <c r="N16" s="93"/>
      <c r="P16" s="93"/>
      <c r="Q16" s="95"/>
      <c r="R16" s="95"/>
      <c r="S16" s="96"/>
    </row>
    <row r="17" spans="1:19" ht="15.75" thickBot="1">
      <c r="A17" s="387"/>
      <c r="B17" s="135" t="s">
        <v>76</v>
      </c>
      <c r="C17" s="212">
        <v>73</v>
      </c>
      <c r="D17" s="217">
        <v>7</v>
      </c>
      <c r="E17" s="218"/>
      <c r="F17" s="163">
        <f t="shared" si="9"/>
        <v>63875</v>
      </c>
      <c r="G17" s="164">
        <f>E17*C17*1500/12</f>
        <v>0</v>
      </c>
      <c r="H17" s="165">
        <f t="shared" si="10"/>
        <v>63875</v>
      </c>
      <c r="I17" s="163">
        <f t="shared" si="6"/>
        <v>9581.25</v>
      </c>
      <c r="J17" s="152">
        <f t="shared" si="3"/>
        <v>0</v>
      </c>
      <c r="L17" s="93"/>
      <c r="N17" s="93"/>
      <c r="P17" s="93"/>
      <c r="Q17" s="95"/>
      <c r="R17" s="95"/>
      <c r="S17" s="96"/>
    </row>
    <row r="18" spans="1:19" s="36" customFormat="1" ht="15.7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1">SUM(E15:E17)</f>
        <v>0</v>
      </c>
      <c r="F18" s="170">
        <f t="shared" si="11"/>
        <v>113250</v>
      </c>
      <c r="G18" s="171">
        <f>SUM(G15:G17)</f>
        <v>0</v>
      </c>
      <c r="H18" s="167">
        <f>SUM(H15:H17)</f>
        <v>113250</v>
      </c>
      <c r="I18" s="170">
        <f t="shared" ref="I18:J18" si="12">SUM(I15:I17)</f>
        <v>16987.5</v>
      </c>
      <c r="J18" s="167">
        <f t="shared" si="12"/>
        <v>0</v>
      </c>
      <c r="L18" s="202"/>
      <c r="M18" s="223"/>
      <c r="N18" s="224"/>
      <c r="O18" s="223"/>
      <c r="P18" s="224"/>
      <c r="Q18" s="161">
        <f>F18+I18+M18+O18</f>
        <v>130237.5</v>
      </c>
      <c r="R18" s="161">
        <f>G18+J18+N18+P18</f>
        <v>0</v>
      </c>
      <c r="S18" s="162">
        <f>SUM(Q18:R18)</f>
        <v>130237.5</v>
      </c>
    </row>
    <row r="19" spans="1:19">
      <c r="A19" s="385" t="s">
        <v>51</v>
      </c>
      <c r="B19" s="136" t="s">
        <v>74</v>
      </c>
      <c r="C19" s="210">
        <v>31</v>
      </c>
      <c r="D19" s="213">
        <v>6</v>
      </c>
      <c r="E19" s="219"/>
      <c r="F19" s="149">
        <f>D19*C19*1500/12</f>
        <v>23250</v>
      </c>
      <c r="G19" s="164">
        <f>E19*C19*1500/12</f>
        <v>0</v>
      </c>
      <c r="H19" s="152">
        <f>F19+G19</f>
        <v>23250</v>
      </c>
      <c r="I19" s="163">
        <f t="shared" si="6"/>
        <v>3487.5</v>
      </c>
      <c r="J19" s="200">
        <f t="shared" si="3"/>
        <v>0</v>
      </c>
      <c r="L19" s="93"/>
      <c r="N19" s="93"/>
      <c r="P19" s="93"/>
      <c r="Q19" s="95"/>
      <c r="R19" s="95"/>
      <c r="S19" s="96"/>
    </row>
    <row r="20" spans="1:19">
      <c r="A20" s="386"/>
      <c r="B20" s="134" t="s">
        <v>75</v>
      </c>
      <c r="C20" s="211">
        <v>48</v>
      </c>
      <c r="D20" s="215">
        <v>6</v>
      </c>
      <c r="E20" s="216"/>
      <c r="F20" s="149">
        <f t="shared" ref="F20:F21" si="13">D20*C20*1500/12</f>
        <v>36000</v>
      </c>
      <c r="G20" s="164">
        <f>E20*C20*1500/12</f>
        <v>0</v>
      </c>
      <c r="H20" s="152">
        <f t="shared" ref="H20:H21" si="14">F20+G20</f>
        <v>36000</v>
      </c>
      <c r="I20" s="163">
        <f>15%*F20</f>
        <v>5400</v>
      </c>
      <c r="J20" s="152">
        <f t="shared" si="3"/>
        <v>0</v>
      </c>
      <c r="L20" s="93"/>
      <c r="N20" s="93"/>
      <c r="P20" s="93"/>
      <c r="Q20" s="95"/>
      <c r="R20" s="95"/>
      <c r="S20" s="96"/>
    </row>
    <row r="21" spans="1:19" ht="15.75" thickBot="1">
      <c r="A21" s="387"/>
      <c r="B21" s="135" t="s">
        <v>76</v>
      </c>
      <c r="C21" s="212">
        <v>73</v>
      </c>
      <c r="D21" s="217">
        <v>6</v>
      </c>
      <c r="E21" s="218"/>
      <c r="F21" s="149">
        <f t="shared" si="13"/>
        <v>54750</v>
      </c>
      <c r="G21" s="164">
        <f>E21*C21*1500/12</f>
        <v>0</v>
      </c>
      <c r="H21" s="152">
        <f t="shared" si="14"/>
        <v>54750</v>
      </c>
      <c r="I21" s="163">
        <f t="shared" si="6"/>
        <v>8212.5</v>
      </c>
      <c r="J21" s="152">
        <f t="shared" si="3"/>
        <v>0</v>
      </c>
      <c r="L21" s="93"/>
      <c r="N21" s="93"/>
      <c r="P21" s="93"/>
      <c r="Q21" s="95"/>
      <c r="R21" s="95"/>
      <c r="S21" s="96"/>
    </row>
    <row r="22" spans="1:19" s="36" customFormat="1" ht="15.7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15">SUM(E19:E21)</f>
        <v>0</v>
      </c>
      <c r="F22" s="170">
        <f>SUM(F19:F21)</f>
        <v>114000</v>
      </c>
      <c r="G22" s="171">
        <f t="shared" si="15"/>
        <v>0</v>
      </c>
      <c r="H22" s="167">
        <f>SUM(H19:H21)</f>
        <v>114000</v>
      </c>
      <c r="I22" s="170">
        <f>SUM(I19:I21)</f>
        <v>17100</v>
      </c>
      <c r="J22" s="167">
        <f t="shared" ref="J22" si="16">SUM(J19:J21)</f>
        <v>0</v>
      </c>
      <c r="L22" s="202"/>
      <c r="M22" s="223"/>
      <c r="N22" s="224"/>
      <c r="O22" s="223"/>
      <c r="P22" s="225"/>
      <c r="Q22" s="159">
        <f>F22+I22+M22+O22</f>
        <v>131100</v>
      </c>
      <c r="R22" s="160">
        <f>G22+J22+N22+P22</f>
        <v>0</v>
      </c>
      <c r="S22" s="158">
        <f>SUM(Q22:R22)</f>
        <v>131100</v>
      </c>
    </row>
    <row r="23" spans="1:19">
      <c r="A23" s="385" t="s">
        <v>52</v>
      </c>
      <c r="B23" s="136" t="s">
        <v>74</v>
      </c>
      <c r="C23" s="210">
        <v>31</v>
      </c>
      <c r="D23" s="213"/>
      <c r="E23" s="219">
        <v>15</v>
      </c>
      <c r="F23" s="149">
        <f>D23*C23*1500/12</f>
        <v>0</v>
      </c>
      <c r="G23" s="164">
        <f>E23*C23*1500/12</f>
        <v>58125</v>
      </c>
      <c r="H23" s="331">
        <f>(F23+G23)</f>
        <v>58125</v>
      </c>
      <c r="I23" s="163">
        <f t="shared" si="6"/>
        <v>0</v>
      </c>
      <c r="J23" s="152">
        <f t="shared" si="3"/>
        <v>8718.75</v>
      </c>
      <c r="L23" s="93"/>
      <c r="N23" s="93"/>
      <c r="P23" s="93"/>
      <c r="Q23" s="95"/>
      <c r="R23" s="95"/>
      <c r="S23" s="96"/>
    </row>
    <row r="24" spans="1:19">
      <c r="A24" s="386"/>
      <c r="B24" s="134" t="s">
        <v>75</v>
      </c>
      <c r="C24" s="211">
        <v>48</v>
      </c>
      <c r="D24" s="215"/>
      <c r="E24" s="216">
        <v>13</v>
      </c>
      <c r="F24" s="149">
        <f t="shared" ref="F24:F25" si="17">D24*C24*1500/12</f>
        <v>0</v>
      </c>
      <c r="G24" s="164">
        <f>E24*C24*1500/12</f>
        <v>78000</v>
      </c>
      <c r="H24" s="332">
        <f t="shared" ref="H24:H25" si="18">(F24+G24)</f>
        <v>78000</v>
      </c>
      <c r="I24" s="163">
        <f t="shared" si="6"/>
        <v>0</v>
      </c>
      <c r="J24" s="152">
        <f t="shared" si="3"/>
        <v>11700</v>
      </c>
      <c r="L24" s="93"/>
      <c r="N24" s="93"/>
      <c r="P24" s="93"/>
      <c r="Q24" s="95"/>
      <c r="R24" s="95"/>
      <c r="S24" s="96"/>
    </row>
    <row r="25" spans="1:19" ht="15.75" thickBot="1">
      <c r="A25" s="387"/>
      <c r="B25" s="135" t="s">
        <v>76</v>
      </c>
      <c r="C25" s="212">
        <v>73</v>
      </c>
      <c r="D25" s="217"/>
      <c r="E25" s="218">
        <v>7</v>
      </c>
      <c r="F25" s="149">
        <f t="shared" si="17"/>
        <v>0</v>
      </c>
      <c r="G25" s="164">
        <f>E25*C25*1500/12</f>
        <v>63875</v>
      </c>
      <c r="H25" s="333">
        <f t="shared" si="18"/>
        <v>63875</v>
      </c>
      <c r="I25" s="163">
        <f t="shared" si="6"/>
        <v>0</v>
      </c>
      <c r="J25" s="152">
        <f t="shared" si="3"/>
        <v>9581.25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19">SUM(E23:E25)</f>
        <v>35</v>
      </c>
      <c r="F26" s="170">
        <f>SUM(F23:F25)</f>
        <v>0</v>
      </c>
      <c r="G26" s="171">
        <f t="shared" si="19"/>
        <v>200000</v>
      </c>
      <c r="H26" s="205">
        <f>SUM(H23:H25)</f>
        <v>200000</v>
      </c>
      <c r="I26" s="170">
        <f>SUM(I23:I25)</f>
        <v>0</v>
      </c>
      <c r="J26" s="167">
        <f>SUM(J23:J25)</f>
        <v>30000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230000</v>
      </c>
      <c r="S26" s="209">
        <f>SUM(Q26:R26)</f>
        <v>230000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5" thickBot="1">
      <c r="A28" s="388" t="s">
        <v>92</v>
      </c>
      <c r="B28" s="389"/>
      <c r="C28" s="390"/>
      <c r="D28" s="173">
        <f t="shared" ref="D28:J28" si="20">D10+D14+D18+D22+D26</f>
        <v>55</v>
      </c>
      <c r="E28" s="204">
        <f t="shared" si="20"/>
        <v>35</v>
      </c>
      <c r="F28" s="174">
        <f t="shared" si="20"/>
        <v>326000</v>
      </c>
      <c r="G28" s="174">
        <f t="shared" si="20"/>
        <v>200000</v>
      </c>
      <c r="H28" s="206">
        <f t="shared" si="20"/>
        <v>526000</v>
      </c>
      <c r="I28" s="174">
        <f t="shared" si="20"/>
        <v>48900</v>
      </c>
      <c r="J28" s="198">
        <f t="shared" si="20"/>
        <v>30000</v>
      </c>
      <c r="K28" s="220">
        <v>1000</v>
      </c>
      <c r="L28" s="220">
        <v>1000</v>
      </c>
      <c r="M28" s="208">
        <f t="shared" ref="M28:P28" si="21">M10+M14+M18+M22+M26</f>
        <v>0</v>
      </c>
      <c r="N28" s="206">
        <f t="shared" si="21"/>
        <v>0</v>
      </c>
      <c r="O28" s="175">
        <f t="shared" si="21"/>
        <v>0</v>
      </c>
      <c r="P28" s="206">
        <f t="shared" si="21"/>
        <v>0</v>
      </c>
      <c r="Q28" s="174">
        <f>Q10+Q14+Q18+Q22+Q26+K28</f>
        <v>375900</v>
      </c>
      <c r="R28" s="174">
        <f>R10+R14+R18+R22+R26+L28</f>
        <v>231000</v>
      </c>
      <c r="S28" s="206">
        <f>S10+S14+S18+S22+S26+K28+L28</f>
        <v>606900</v>
      </c>
    </row>
    <row r="29" spans="1:19" ht="15.7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0" t="s">
        <v>93</v>
      </c>
      <c r="B30" s="381"/>
      <c r="C30" s="230">
        <f>80%*Q28+60%*R28</f>
        <v>439320</v>
      </c>
      <c r="K30" s="33"/>
    </row>
    <row r="31" spans="1:19" ht="15.75" thickTop="1">
      <c r="C31" s="32"/>
      <c r="H31" s="32"/>
      <c r="K31" s="33"/>
    </row>
    <row r="32" spans="1:19" ht="15.75" thickBot="1">
      <c r="H32" s="32"/>
      <c r="K32" s="33"/>
    </row>
    <row r="33" spans="1:11" ht="16.5" thickTop="1" thickBot="1">
      <c r="A33" s="382" t="s">
        <v>85</v>
      </c>
      <c r="B33" s="231" t="s">
        <v>74</v>
      </c>
      <c r="C33" s="235">
        <f t="shared" ref="C33:D35" si="22">D23+D19+D15+D11+D7</f>
        <v>21</v>
      </c>
      <c r="D33" s="235">
        <f t="shared" si="22"/>
        <v>15</v>
      </c>
      <c r="E33" s="235">
        <f>SUM(C33:D33)</f>
        <v>36</v>
      </c>
      <c r="H33" s="32"/>
      <c r="K33" s="33"/>
    </row>
    <row r="34" spans="1:11" ht="16.5" thickTop="1" thickBot="1">
      <c r="A34" s="383"/>
      <c r="B34" s="232" t="s">
        <v>75</v>
      </c>
      <c r="C34" s="235">
        <f t="shared" si="22"/>
        <v>21</v>
      </c>
      <c r="D34" s="235">
        <f t="shared" si="22"/>
        <v>13</v>
      </c>
      <c r="E34" s="235">
        <f t="shared" ref="E34:E35" si="23">SUM(C34:D34)</f>
        <v>34</v>
      </c>
      <c r="H34" s="32"/>
      <c r="K34" s="33"/>
    </row>
    <row r="35" spans="1:11" ht="16.5" thickTop="1" thickBot="1">
      <c r="A35" s="384"/>
      <c r="B35" s="233" t="s">
        <v>76</v>
      </c>
      <c r="C35" s="235">
        <f t="shared" si="22"/>
        <v>13</v>
      </c>
      <c r="D35" s="235">
        <f t="shared" si="22"/>
        <v>7</v>
      </c>
      <c r="E35" s="235">
        <f t="shared" si="23"/>
        <v>20</v>
      </c>
      <c r="H35" s="32"/>
      <c r="K35" s="33"/>
    </row>
    <row r="36" spans="1:11" ht="16.5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.75" thickBot="1">
      <c r="C42" s="32"/>
      <c r="H42" s="32"/>
      <c r="K42" s="34"/>
    </row>
    <row r="43" spans="1:11" ht="15.7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Props1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1DA17-F824-4FAC-B793-017E663007ED}">
  <ds:schemaRefs>
    <ds:schemaRef ds:uri="d17d55cf-9183-4285-a96a-bd7d6bb79d29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0478af9-93a4-473a-998f-f90507dd81f5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0. RIEPILOGO</vt:lpstr>
      <vt:lpstr>0.a ISTRUZIONI DI COMPILAZIONE</vt:lpstr>
      <vt:lpstr>1. Distribuzione Mesi-Uomo</vt:lpstr>
      <vt:lpstr>Modello Budget GI TENTATIVE</vt:lpstr>
      <vt:lpstr>2.aBudget Grande Impresa</vt:lpstr>
      <vt:lpstr>2.bBudget Media Impresa</vt:lpstr>
      <vt:lpstr>2.cBudget Piccola Impresa</vt:lpstr>
      <vt:lpstr>2.dBudget EPR</vt:lpstr>
      <vt:lpstr>2.cBudget UNI</vt:lpstr>
      <vt:lpstr>3. Budget Progetto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Piera Pandolfi</cp:lastModifiedBy>
  <cp:revision/>
  <dcterms:created xsi:type="dcterms:W3CDTF">2015-06-05T18:19:34Z</dcterms:created>
  <dcterms:modified xsi:type="dcterms:W3CDTF">2024-07-25T08:43:18Z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